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FSLG\EXPEDIENTES TECNICOS\Changomarca ET Final\"/>
    </mc:Choice>
  </mc:AlternateContent>
  <xr:revisionPtr revIDLastSave="0" documentId="8_{AF05DFCC-ECF5-FA41-A6A8-CE66F88CDD3A}" xr6:coauthVersionLast="47" xr6:coauthVersionMax="47" xr10:uidLastSave="{00000000-0000-0000-0000-000000000000}"/>
  <bookViews>
    <workbookView xWindow="0" yWindow="0" windowWidth="20490" windowHeight="6405" tabRatio="806" activeTab="4" xr2:uid="{00000000-000D-0000-FFFF-FFFF00000000}"/>
  </bookViews>
  <sheets>
    <sheet name="RESÚMEN" sheetId="22" r:id="rId1"/>
    <sheet name="CONSOLIDADO" sheetId="24" r:id="rId2"/>
    <sheet name="FIJOS" sheetId="1" r:id="rId3"/>
    <sheet name="VARIABLES" sheetId="2" r:id="rId4"/>
    <sheet name="SUPERVISION" sheetId="26" r:id="rId5"/>
  </sheets>
  <definedNames>
    <definedName name="_xlnm.Print_Area" localSheetId="1">CONSOLIDADO!$C$1:$H$26</definedName>
    <definedName name="_xlnm.Print_Area" localSheetId="2">FIJOS!$B$1:$J$43</definedName>
    <definedName name="_xlnm.Print_Area" localSheetId="0">RESÚMEN!$B$2:$I$48</definedName>
    <definedName name="_xlnm.Print_Area" localSheetId="4">SUPERVISION!$A$1:$I$25</definedName>
    <definedName name="CABEZA" localSheetId="4">SUPERVISION!$B$1:$H$14</definedName>
    <definedName name="CABEZA">VARIABLES!$B$1:$H$10</definedName>
    <definedName name="SUSTENTO" localSheetId="4">SUPERVISION!$B$6:$H$21</definedName>
    <definedName name="SUSTENTO">VARIABLES!$B$6:$H$36</definedName>
    <definedName name="_xlnm.Print_Titles" localSheetId="4">SUPERVISION!$1:$11</definedName>
    <definedName name="_xlnm.Print_Titles" localSheetId="3">VARIABLES!$1:$8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2" l="1"/>
  <c r="G14" i="2"/>
  <c r="H17" i="26"/>
  <c r="E27" i="2"/>
  <c r="G27" i="2"/>
  <c r="F29" i="2"/>
  <c r="H28" i="2"/>
  <c r="G16" i="26"/>
  <c r="J22" i="22"/>
  <c r="F19" i="26"/>
  <c r="F15" i="26"/>
  <c r="F19" i="2"/>
  <c r="F17" i="2"/>
  <c r="F20" i="2"/>
  <c r="F21" i="2"/>
  <c r="F16" i="2"/>
  <c r="F22" i="2"/>
  <c r="F25" i="2"/>
  <c r="F26" i="2"/>
  <c r="H26" i="2"/>
  <c r="H20" i="2"/>
  <c r="H25" i="2"/>
  <c r="F27" i="2"/>
  <c r="H27" i="2"/>
  <c r="H29" i="22"/>
  <c r="H15" i="26"/>
  <c r="G37" i="1"/>
  <c r="E42" i="1"/>
  <c r="H42" i="1"/>
  <c r="I35" i="1"/>
  <c r="I33" i="1"/>
  <c r="F41" i="1"/>
  <c r="F40" i="1"/>
  <c r="F39" i="1"/>
  <c r="F38" i="1"/>
  <c r="E39" i="1"/>
  <c r="H39" i="1"/>
  <c r="E40" i="1"/>
  <c r="H40" i="1"/>
  <c r="E41" i="1"/>
  <c r="H41" i="1"/>
  <c r="E38" i="1"/>
  <c r="H38" i="1"/>
  <c r="I42" i="1"/>
  <c r="I36" i="1"/>
  <c r="J37" i="22"/>
  <c r="J32" i="22"/>
  <c r="H17" i="2"/>
  <c r="H16" i="26"/>
  <c r="H14" i="2"/>
  <c r="H16" i="2"/>
  <c r="H29" i="2"/>
  <c r="J15" i="24"/>
  <c r="H10" i="2"/>
  <c r="H22" i="2"/>
  <c r="H32" i="22"/>
  <c r="H14" i="22"/>
  <c r="F8" i="24"/>
  <c r="I15" i="1"/>
  <c r="I14" i="1"/>
  <c r="H11" i="2"/>
  <c r="F23" i="24"/>
  <c r="H19" i="2"/>
  <c r="H20" i="26"/>
  <c r="H19" i="26"/>
  <c r="H14" i="26"/>
  <c r="I16" i="1"/>
  <c r="H21" i="2"/>
  <c r="I13" i="1"/>
  <c r="H36" i="2"/>
  <c r="G18" i="24"/>
  <c r="H18" i="24"/>
  <c r="H21" i="26"/>
  <c r="H9" i="26"/>
  <c r="I18" i="1"/>
  <c r="I43" i="1"/>
  <c r="G15" i="24"/>
  <c r="H15" i="24"/>
  <c r="H20" i="24"/>
  <c r="F24" i="24"/>
  <c r="F25" i="24"/>
  <c r="G22" i="24"/>
  <c r="I22" i="24"/>
  <c r="I23" i="24"/>
  <c r="E31" i="22"/>
  <c r="J31" i="22"/>
  <c r="K31" i="22"/>
  <c r="H31" i="22"/>
  <c r="H36" i="22"/>
  <c r="H37" i="22"/>
  <c r="H40" i="22"/>
  <c r="J29" i="22"/>
  <c r="E42" i="22"/>
  <c r="J42" i="22"/>
  <c r="K42" i="22"/>
  <c r="E43" i="22"/>
  <c r="H7" i="26"/>
  <c r="E9" i="26"/>
  <c r="M29" i="22"/>
  <c r="E41" i="22"/>
  <c r="J41" i="22"/>
  <c r="K41" i="22"/>
  <c r="H41" i="22"/>
  <c r="H45" i="22"/>
  <c r="J45" i="2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HP-SLV-USR</author>
  </authors>
  <commentList>
    <comment ref="G2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HP-SLV-USR:</t>
        </r>
        <r>
          <rPr>
            <sz val="9"/>
            <color indexed="81"/>
            <rFont val="Tahoma"/>
            <family val="2"/>
          </rPr>
          <t xml:space="preserve">
10%VR</t>
        </r>
      </text>
    </comment>
    <comment ref="C29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HP-SLV-USR:</t>
        </r>
        <r>
          <rPr>
            <sz val="9"/>
            <color indexed="81"/>
            <rFont val="Tahoma"/>
            <family val="2"/>
          </rPr>
          <t xml:space="preserve">
de acuerdo a la ley 29667</t>
        </r>
      </text>
    </comment>
    <comment ref="G29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HP-SLV-USR:</t>
        </r>
        <r>
          <rPr>
            <sz val="9"/>
            <color indexed="81"/>
            <rFont val="Tahoma"/>
            <family val="2"/>
          </rPr>
          <t xml:space="preserve">
VR</t>
        </r>
      </text>
    </comment>
  </commentList>
</comments>
</file>

<file path=xl/sharedStrings.xml><?xml version="1.0" encoding="utf-8"?>
<sst xmlns="http://schemas.openxmlformats.org/spreadsheetml/2006/main" count="204" uniqueCount="130">
  <si>
    <t>S/.</t>
  </si>
  <si>
    <t>-</t>
  </si>
  <si>
    <t>Item</t>
  </si>
  <si>
    <t>Descripción</t>
  </si>
  <si>
    <t>Cantidad</t>
  </si>
  <si>
    <t>Mes</t>
  </si>
  <si>
    <t>Glb.</t>
  </si>
  <si>
    <t>est.</t>
  </si>
  <si>
    <t>Monto Presupuestado</t>
  </si>
  <si>
    <t>DESCRIPCIÓN</t>
  </si>
  <si>
    <t>MONTO</t>
  </si>
  <si>
    <t>GASTOS GENERALES</t>
  </si>
  <si>
    <t>TOTAL PRESUPUESTADO</t>
  </si>
  <si>
    <t>Gastos Generales Fijos</t>
  </si>
  <si>
    <t>Und.</t>
  </si>
  <si>
    <t>Cant. Descripción</t>
  </si>
  <si>
    <t>Cant. Undidad</t>
  </si>
  <si>
    <t>Precio  Unitario S/.</t>
  </si>
  <si>
    <t>Valor Total S/.</t>
  </si>
  <si>
    <t>I</t>
  </si>
  <si>
    <t>II</t>
  </si>
  <si>
    <t>III</t>
  </si>
  <si>
    <t>Total de Gastos Generales Fijos S/.</t>
  </si>
  <si>
    <t>Cant. Unidad</t>
  </si>
  <si>
    <t>Gastos Generales Variables</t>
  </si>
  <si>
    <t>Mano de Obra Indirecta</t>
  </si>
  <si>
    <t>Materiales, Servicios  y Equipos de Oficinas</t>
  </si>
  <si>
    <t>Materiales de Oficina</t>
  </si>
  <si>
    <t>Total de Gastos Generales Variables S/.</t>
  </si>
  <si>
    <t>Análisis de Gastos Generales Fijos</t>
  </si>
  <si>
    <t>Análisis de Gastos Generales Variables</t>
  </si>
  <si>
    <t>Total de Gastos Generales  S/.</t>
  </si>
  <si>
    <t>Relación de Costo Directo y Costo Indirecto</t>
  </si>
  <si>
    <t xml:space="preserve">                    * Costo Directo </t>
  </si>
  <si>
    <t xml:space="preserve">                    * Costo Indirecto</t>
  </si>
  <si>
    <t>Relación de Costo Directo/Costo Indirecto</t>
  </si>
  <si>
    <t>%</t>
  </si>
  <si>
    <t xml:space="preserve"> </t>
  </si>
  <si>
    <t>Ing. Residente de Obra (Inc. Leyes Sociales)</t>
  </si>
  <si>
    <t>Guardian (Incl. Leyes Sociales)</t>
  </si>
  <si>
    <t>*</t>
  </si>
  <si>
    <t>RESUMEN DE ANALISIS DE GASTOS GENERALES</t>
  </si>
  <si>
    <t>ANALISIS DE GASTOS GENERALES</t>
  </si>
  <si>
    <t>GASTOS GENERALES FIJOS</t>
  </si>
  <si>
    <t>GASTOS GENERALES VARIABLES</t>
  </si>
  <si>
    <t>----------------------------------</t>
  </si>
  <si>
    <t>TOTAL TANGIBLES</t>
  </si>
  <si>
    <t>GASTOS DE SUPERVISION</t>
  </si>
  <si>
    <t>A. TOTAL TANGIBLES</t>
  </si>
  <si>
    <t>Ing. Supervisor</t>
  </si>
  <si>
    <t>a</t>
  </si>
  <si>
    <t>b</t>
  </si>
  <si>
    <t>TANGIBLES</t>
  </si>
  <si>
    <t>T. Tangibles</t>
  </si>
  <si>
    <t>SUPERVISION DE OBRAS</t>
  </si>
  <si>
    <t>Maestro de Obra</t>
  </si>
  <si>
    <t>EXPEDIENTE TECNICO</t>
  </si>
  <si>
    <t>RESUMEN DE PRESUPUESTO</t>
  </si>
  <si>
    <t>COSTO DIRECTO</t>
  </si>
  <si>
    <t>Diseño de Mezclas</t>
  </si>
  <si>
    <t>Ensayos de Compresión de Probetas</t>
  </si>
  <si>
    <t>Ensayo de Densidad de Campo</t>
  </si>
  <si>
    <t>ENSAYOS DE LABORATORIO</t>
  </si>
  <si>
    <t>und</t>
  </si>
  <si>
    <t>IMPREVISTOS</t>
  </si>
  <si>
    <t>PERSONAL  PROFESIONAL</t>
  </si>
  <si>
    <t>PERSONAL AUXILIAR</t>
  </si>
  <si>
    <t>Almacenero</t>
  </si>
  <si>
    <t>Controlador</t>
  </si>
  <si>
    <t>HERRAMIENTAS</t>
  </si>
  <si>
    <t>Boggies</t>
  </si>
  <si>
    <t>Picos</t>
  </si>
  <si>
    <t>Rastrillo</t>
  </si>
  <si>
    <t>Comba de 12 Libras</t>
  </si>
  <si>
    <t>Gastos de  Supervision</t>
  </si>
  <si>
    <t xml:space="preserve">Personal </t>
  </si>
  <si>
    <t>COSTO DIRECTO DEL PRESUPUESTO BASE:</t>
  </si>
  <si>
    <t>IV</t>
  </si>
  <si>
    <t>MOVILIDAD</t>
  </si>
  <si>
    <t>LIQUIDACION</t>
  </si>
  <si>
    <t>Elaboracion de expediente de liquidación</t>
  </si>
  <si>
    <t>Revisión y conformidad de Liquidación</t>
  </si>
  <si>
    <t>Elaboración de Expediente Tècnico</t>
  </si>
  <si>
    <t>B. GASTOS DE SUPERVISIÓN Y LIQUIDACIÓN</t>
  </si>
  <si>
    <t>MATERIALES DE OFICINA Y ALQUILER DE ALMACEN</t>
  </si>
  <si>
    <t>Alquiler de almacen para la obra</t>
  </si>
  <si>
    <t>ITEM</t>
  </si>
  <si>
    <t>UTILIDAD</t>
  </si>
  <si>
    <t>IGV</t>
  </si>
  <si>
    <t>VALOR REFERENCIAL</t>
  </si>
  <si>
    <t>MODALIDAD : ADMINISTRACION INDIRECTA - CONTRATA</t>
  </si>
  <si>
    <t>PARCIAL</t>
  </si>
  <si>
    <t>GASTOS DE LICITACION Y CONTRATACION</t>
  </si>
  <si>
    <t>VISITA A LA OBRA</t>
  </si>
  <si>
    <t>GASTOS INDIRECTOS VARIOS</t>
  </si>
  <si>
    <t>Legales y Notariales de la Organización</t>
  </si>
  <si>
    <t>GASTOS FINANCIEROS  . . . . . . . . . . . . . . . . . . . . . . . . . . . . . . . . . . . . . . . . .</t>
  </si>
  <si>
    <t>FACTOR C.D.</t>
  </si>
  <si>
    <t>a- CARTA FIANZA FIEL CUMPLIMIENTO</t>
  </si>
  <si>
    <t>b- CARTA FIANZA ADELANTO EN EFECTIVO</t>
  </si>
  <si>
    <t>c- CARTA FIANZA ADELANTO DE MATERIALES</t>
  </si>
  <si>
    <t>d.- SENCICO</t>
  </si>
  <si>
    <t>e- IMPUESTO A LAS TRANSACCIONES FINANCIERAS ITF</t>
  </si>
  <si>
    <t>GASTOS GENERALES NO RELACIONADOS CON EL PLAZO DE EJECUCION DE LA OBRA</t>
  </si>
  <si>
    <t>TOTAL DE GASTOS FIJOS Y FINANCIEROS</t>
  </si>
  <si>
    <t>Ing. Asistente de supervision</t>
  </si>
  <si>
    <t>Son: DOSCIENTOS OCHENTA Y UN MIL SETECIENTOS NEVENTA Y CUATRO  CON 27/100 NUEVOS SOLES</t>
  </si>
  <si>
    <t>Topógrafo</t>
  </si>
  <si>
    <t>Movilidad (Camioneta)</t>
  </si>
  <si>
    <t>glb</t>
  </si>
  <si>
    <t xml:space="preserve">LUGAR :   QUEROCOTO-CHOTA-CAJAMARCA            </t>
  </si>
  <si>
    <t>Camioneta 4x4 a todo costo</t>
  </si>
  <si>
    <t>Carta de fiel cumplimiento</t>
  </si>
  <si>
    <t>Gastos de seguro contra todo riesgo</t>
  </si>
  <si>
    <t>Est</t>
  </si>
  <si>
    <t>ITF</t>
  </si>
  <si>
    <t>ing. Asistente de residente</t>
  </si>
  <si>
    <t>Alimentacion</t>
  </si>
  <si>
    <t xml:space="preserve"> OBRAS PRELIMINARES </t>
  </si>
  <si>
    <t xml:space="preserve"> OBRAS PROVISIONALES </t>
  </si>
  <si>
    <t xml:space="preserve"> MOVIMIENTO DE TIERRAS </t>
  </si>
  <si>
    <t xml:space="preserve"> AFIRMADO </t>
  </si>
  <si>
    <t xml:space="preserve"> OBRAS DE ARTE Y DRENAJE </t>
  </si>
  <si>
    <t xml:space="preserve"> SEÑALIZACIÓN Y SEGURIDAD VIAL </t>
  </si>
  <si>
    <t xml:space="preserve"> IMPACTO AMBIENTAL </t>
  </si>
  <si>
    <t xml:space="preserve"> SEGURIDAD Y SALUD OCUPACIONAL </t>
  </si>
  <si>
    <t xml:space="preserve"> FLETE </t>
  </si>
  <si>
    <t>Afectaciones prediales</t>
  </si>
  <si>
    <t>INFRAESTRUCTURA VIAL</t>
  </si>
  <si>
    <t>Esp. En seguridad, salud ocupacional y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</si>
</sst>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 * #,##0.00_ ;_ * \-#,##0.00_ ;_ * &quot;-&quot;??_ ;_ @_ "/>
    <numFmt numFmtId="165" formatCode="_(&quot;N$&quot;* #,##0.00_);_(&quot;N$&quot;* \(#,##0.00\);_(&quot;N$&quot;* &quot;-&quot;??_);_(@_)"/>
    <numFmt numFmtId="166" formatCode="0.0"/>
    <numFmt numFmtId="167" formatCode="&quot;S/.&quot;\ #,##0.00"/>
    <numFmt numFmtId="168" formatCode="0.00.00"/>
    <numFmt numFmtId="169" formatCode="0.0000000%"/>
    <numFmt numFmtId="170" formatCode="0.0000000"/>
    <numFmt numFmtId="171" formatCode="0.0000000000"/>
    <numFmt numFmtId="172" formatCode="_ * #,##0.0000000000_ ;_ * \-#,##0.0000000000_ ;_ * &quot;-&quot;??_ ;_ @_ "/>
    <numFmt numFmtId="173" formatCode="0.000%"/>
    <numFmt numFmtId="174" formatCode="0.0000%"/>
    <numFmt numFmtId="175" formatCode="#,##0.0000"/>
    <numFmt numFmtId="176" formatCode="&quot;S/.&quot;\ #,##0.00;[Red]&quot;S/.&quot;\ #,##0.00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indexed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11"/>
      <color theme="1"/>
      <name val="Calibri"/>
      <family val="2"/>
      <scheme val="minor"/>
    </font>
    <font>
      <sz val="10"/>
      <color indexed="53"/>
      <name val="Arial Narrow"/>
      <family val="2"/>
    </font>
    <font>
      <sz val="10"/>
      <color indexed="10"/>
      <name val="Arial Narrow"/>
      <family val="2"/>
    </font>
    <font>
      <i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sz val="10"/>
      <color indexed="18"/>
      <name val="Arial Narrow"/>
      <family val="2"/>
    </font>
    <font>
      <sz val="10"/>
      <color theme="0" tint="-0.14999847407452621"/>
      <name val="Arial Narrow"/>
      <family val="2"/>
    </font>
    <font>
      <b/>
      <i/>
      <sz val="10"/>
      <color rgb="FFFF0000"/>
      <name val="Arial Narrow"/>
      <family val="2"/>
    </font>
    <font>
      <i/>
      <sz val="10"/>
      <name val="Arial Narrow"/>
      <family val="2"/>
    </font>
    <font>
      <b/>
      <u/>
      <sz val="11"/>
      <name val="Arial Narrow"/>
      <family val="2"/>
    </font>
    <font>
      <b/>
      <u/>
      <sz val="10"/>
      <name val="Arial Narrow"/>
      <family val="2"/>
    </font>
    <font>
      <b/>
      <u/>
      <sz val="12"/>
      <name val="Arial Narrow"/>
      <family val="2"/>
    </font>
    <font>
      <b/>
      <sz val="10"/>
      <color theme="1"/>
      <name val="Swis721 BlkEx BT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</fills>
  <borders count="60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32"/>
      </left>
      <right/>
      <top/>
      <bottom style="double">
        <color indexed="32"/>
      </bottom>
      <diagonal/>
    </border>
    <border>
      <left/>
      <right/>
      <top/>
      <bottom style="double">
        <color indexed="32"/>
      </bottom>
      <diagonal/>
    </border>
    <border>
      <left/>
      <right style="double">
        <color indexed="32"/>
      </right>
      <top/>
      <bottom style="double">
        <color indexed="32"/>
      </bottom>
      <diagonal/>
    </border>
    <border>
      <left style="thin">
        <color indexed="64"/>
      </left>
      <right style="hair">
        <color indexed="58"/>
      </right>
      <top style="thin">
        <color indexed="64"/>
      </top>
      <bottom style="hair">
        <color indexed="58"/>
      </bottom>
      <diagonal/>
    </border>
    <border>
      <left style="thin">
        <color indexed="64"/>
      </left>
      <right style="hair">
        <color indexed="58"/>
      </right>
      <top style="hair">
        <color indexed="58"/>
      </top>
      <bottom style="hair">
        <color indexed="58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  <diagonal/>
    </border>
    <border>
      <left style="hair">
        <color indexed="58"/>
      </left>
      <right style="thin">
        <color indexed="64"/>
      </right>
      <top style="hair">
        <color indexed="58"/>
      </top>
      <bottom style="hair">
        <color indexed="58"/>
      </bottom>
      <diagonal/>
    </border>
    <border>
      <left style="thin">
        <color indexed="64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58"/>
      </left>
      <right style="hair">
        <color indexed="58"/>
      </right>
      <top style="thin">
        <color indexed="64"/>
      </top>
      <bottom style="hair">
        <color indexed="58"/>
      </bottom>
      <diagonal/>
    </border>
    <border>
      <left style="hair">
        <color indexed="58"/>
      </left>
      <right style="thin">
        <color indexed="64"/>
      </right>
      <top style="thin">
        <color indexed="64"/>
      </top>
      <bottom style="hair">
        <color indexed="58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 style="hair">
        <color indexed="58"/>
      </left>
      <right style="thin">
        <color indexed="64"/>
      </right>
      <top style="hair">
        <color indexed="5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3" fillId="0" borderId="0"/>
    <xf numFmtId="0" fontId="3" fillId="0" borderId="0"/>
    <xf numFmtId="0" fontId="2" fillId="0" borderId="0"/>
    <xf numFmtId="0" fontId="1" fillId="0" borderId="0"/>
  </cellStyleXfs>
  <cellXfs count="239">
    <xf numFmtId="0" fontId="0" fillId="0" borderId="0" xfId="0"/>
    <xf numFmtId="0" fontId="6" fillId="0" borderId="0" xfId="0" applyFont="1" applyProtection="1">
      <protection locked="0"/>
    </xf>
    <xf numFmtId="0" fontId="6" fillId="0" borderId="0" xfId="0" applyFont="1" applyBorder="1"/>
    <xf numFmtId="0" fontId="6" fillId="0" borderId="0" xfId="0" applyFont="1" applyBorder="1" applyProtection="1">
      <protection locked="0"/>
    </xf>
    <xf numFmtId="0" fontId="6" fillId="0" borderId="0" xfId="0" applyFont="1" applyBorder="1" applyAlignment="1"/>
    <xf numFmtId="0" fontId="6" fillId="0" borderId="0" xfId="0" applyFont="1" applyBorder="1" applyAlignment="1">
      <alignment vertical="center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/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/>
    <xf numFmtId="0" fontId="6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43" fontId="6" fillId="0" borderId="2" xfId="1" applyFont="1" applyFill="1" applyBorder="1" applyAlignment="1">
      <alignment horizontal="center"/>
    </xf>
    <xf numFmtId="43" fontId="7" fillId="0" borderId="2" xfId="1" applyFont="1" applyFill="1" applyBorder="1" applyAlignment="1"/>
    <xf numFmtId="0" fontId="6" fillId="0" borderId="2" xfId="0" applyFont="1" applyFill="1" applyBorder="1" applyAlignment="1">
      <alignment horizontal="left"/>
    </xf>
    <xf numFmtId="4" fontId="7" fillId="0" borderId="2" xfId="0" applyNumberFormat="1" applyFont="1" applyFill="1" applyBorder="1"/>
    <xf numFmtId="0" fontId="9" fillId="0" borderId="0" xfId="0" applyFont="1" applyBorder="1" applyAlignment="1"/>
    <xf numFmtId="0" fontId="7" fillId="2" borderId="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67" fontId="7" fillId="2" borderId="5" xfId="2" applyNumberFormat="1" applyFont="1" applyFill="1" applyBorder="1" applyAlignment="1">
      <alignment horizontal="center"/>
    </xf>
    <xf numFmtId="0" fontId="7" fillId="0" borderId="0" xfId="0" applyFont="1" applyBorder="1"/>
    <xf numFmtId="0" fontId="7" fillId="3" borderId="2" xfId="0" applyFont="1" applyFill="1" applyBorder="1" applyAlignment="1">
      <alignment horizontal="center" vertical="center"/>
    </xf>
    <xf numFmtId="2" fontId="7" fillId="3" borderId="2" xfId="0" applyNumberFormat="1" applyFont="1" applyFill="1" applyBorder="1" applyAlignment="1">
      <alignment horizontal="center" vertical="center" wrapText="1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/>
    <xf numFmtId="0" fontId="12" fillId="0" borderId="0" xfId="0" applyFont="1" applyProtection="1">
      <protection locked="0"/>
    </xf>
    <xf numFmtId="0" fontId="6" fillId="0" borderId="4" xfId="0" applyFont="1" applyBorder="1"/>
    <xf numFmtId="0" fontId="7" fillId="0" borderId="6" xfId="0" applyFont="1" applyBorder="1" applyAlignment="1"/>
    <xf numFmtId="0" fontId="11" fillId="0" borderId="24" xfId="0" applyFont="1" applyBorder="1"/>
    <xf numFmtId="0" fontId="11" fillId="0" borderId="25" xfId="0" applyFont="1" applyBorder="1" applyAlignment="1">
      <alignment horizontal="center"/>
    </xf>
    <xf numFmtId="0" fontId="11" fillId="0" borderId="25" xfId="0" applyFont="1" applyBorder="1"/>
    <xf numFmtId="0" fontId="11" fillId="0" borderId="26" xfId="0" applyFont="1" applyBorder="1"/>
    <xf numFmtId="0" fontId="11" fillId="0" borderId="0" xfId="0" applyFont="1" applyAlignment="1">
      <alignment horizontal="center"/>
    </xf>
    <xf numFmtId="0" fontId="11" fillId="2" borderId="0" xfId="0" applyFont="1" applyFill="1"/>
    <xf numFmtId="0" fontId="11" fillId="2" borderId="0" xfId="0" applyFont="1" applyFill="1" applyBorder="1"/>
    <xf numFmtId="0" fontId="11" fillId="2" borderId="0" xfId="0" applyFont="1" applyFill="1" applyBorder="1" applyAlignment="1">
      <alignment horizontal="center"/>
    </xf>
    <xf numFmtId="9" fontId="11" fillId="2" borderId="0" xfId="0" applyNumberFormat="1" applyFont="1" applyFill="1" applyBorder="1" applyAlignment="1">
      <alignment horizontal="center"/>
    </xf>
    <xf numFmtId="0" fontId="11" fillId="2" borderId="3" xfId="0" applyFont="1" applyFill="1" applyBorder="1"/>
    <xf numFmtId="0" fontId="11" fillId="5" borderId="2" xfId="0" applyFont="1" applyFill="1" applyBorder="1" applyAlignment="1">
      <alignment horizontal="center" vertical="center"/>
    </xf>
    <xf numFmtId="2" fontId="11" fillId="5" borderId="2" xfId="0" applyNumberFormat="1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11" fillId="2" borderId="29" xfId="0" applyFont="1" applyFill="1" applyBorder="1"/>
    <xf numFmtId="0" fontId="11" fillId="2" borderId="29" xfId="0" applyFont="1" applyFill="1" applyBorder="1" applyAlignment="1">
      <alignment horizontal="center"/>
    </xf>
    <xf numFmtId="2" fontId="11" fillId="2" borderId="29" xfId="0" applyNumberFormat="1" applyFont="1" applyFill="1" applyBorder="1" applyAlignment="1">
      <alignment horizontal="center"/>
    </xf>
    <xf numFmtId="4" fontId="11" fillId="2" borderId="29" xfId="0" applyNumberFormat="1" applyFont="1" applyFill="1" applyBorder="1"/>
    <xf numFmtId="4" fontId="11" fillId="2" borderId="30" xfId="0" applyNumberFormat="1" applyFont="1" applyFill="1" applyBorder="1"/>
    <xf numFmtId="2" fontId="11" fillId="2" borderId="29" xfId="0" applyNumberFormat="1" applyFont="1" applyFill="1" applyBorder="1"/>
    <xf numFmtId="0" fontId="11" fillId="2" borderId="31" xfId="0" applyFont="1" applyFill="1" applyBorder="1"/>
    <xf numFmtId="4" fontId="11" fillId="2" borderId="2" xfId="0" applyNumberFormat="1" applyFont="1" applyFill="1" applyBorder="1"/>
    <xf numFmtId="0" fontId="11" fillId="2" borderId="32" xfId="0" applyFont="1" applyFill="1" applyBorder="1"/>
    <xf numFmtId="0" fontId="10" fillId="2" borderId="0" xfId="0" applyFont="1" applyFill="1" applyBorder="1" applyAlignment="1">
      <alignment vertical="center"/>
    </xf>
    <xf numFmtId="0" fontId="11" fillId="2" borderId="33" xfId="0" applyFont="1" applyFill="1" applyBorder="1"/>
    <xf numFmtId="0" fontId="11" fillId="2" borderId="34" xfId="0" applyFont="1" applyFill="1" applyBorder="1" applyAlignment="1">
      <alignment horizontal="center"/>
    </xf>
    <xf numFmtId="4" fontId="11" fillId="2" borderId="34" xfId="0" applyNumberFormat="1" applyFont="1" applyFill="1" applyBorder="1"/>
    <xf numFmtId="0" fontId="11" fillId="2" borderId="35" xfId="0" applyFont="1" applyFill="1" applyBorder="1" applyAlignment="1">
      <alignment horizontal="center"/>
    </xf>
    <xf numFmtId="0" fontId="11" fillId="2" borderId="36" xfId="0" applyFont="1" applyFill="1" applyBorder="1"/>
    <xf numFmtId="0" fontId="11" fillId="2" borderId="37" xfId="0" applyFont="1" applyFill="1" applyBorder="1" applyAlignment="1">
      <alignment horizontal="center"/>
    </xf>
    <xf numFmtId="4" fontId="11" fillId="2" borderId="37" xfId="0" applyNumberFormat="1" applyFont="1" applyFill="1" applyBorder="1"/>
    <xf numFmtId="0" fontId="11" fillId="2" borderId="38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right"/>
    </xf>
    <xf numFmtId="0" fontId="11" fillId="2" borderId="40" xfId="0" applyFont="1" applyFill="1" applyBorder="1" applyAlignment="1">
      <alignment horizontal="center"/>
    </xf>
    <xf numFmtId="10" fontId="11" fillId="2" borderId="40" xfId="0" applyNumberFormat="1" applyFont="1" applyFill="1" applyBorder="1"/>
    <xf numFmtId="0" fontId="11" fillId="2" borderId="41" xfId="0" applyFont="1" applyFill="1" applyBorder="1" applyAlignment="1">
      <alignment horizontal="center"/>
    </xf>
    <xf numFmtId="0" fontId="11" fillId="0" borderId="0" xfId="0" applyFont="1" applyFill="1"/>
    <xf numFmtId="10" fontId="7" fillId="2" borderId="4" xfId="3" applyNumberFormat="1" applyFont="1" applyFill="1" applyBorder="1" applyAlignment="1">
      <alignment horizontal="right"/>
    </xf>
    <xf numFmtId="0" fontId="11" fillId="0" borderId="0" xfId="0" applyFont="1" applyFill="1" applyBorder="1"/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4" fillId="0" borderId="0" xfId="0" applyFont="1"/>
    <xf numFmtId="4" fontId="11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5" fillId="0" borderId="0" xfId="0" applyFont="1" applyBorder="1" applyAlignment="1"/>
    <xf numFmtId="0" fontId="15" fillId="0" borderId="0" xfId="0" applyFont="1"/>
    <xf numFmtId="168" fontId="16" fillId="2" borderId="51" xfId="0" applyNumberFormat="1" applyFont="1" applyFill="1" applyBorder="1" applyAlignment="1">
      <alignment horizontal="center" vertical="center"/>
    </xf>
    <xf numFmtId="168" fontId="16" fillId="2" borderId="52" xfId="0" applyNumberFormat="1" applyFont="1" applyFill="1" applyBorder="1" applyAlignment="1">
      <alignment horizontal="center" vertical="center"/>
    </xf>
    <xf numFmtId="0" fontId="18" fillId="0" borderId="53" xfId="4" applyFont="1" applyBorder="1"/>
    <xf numFmtId="0" fontId="16" fillId="0" borderId="4" xfId="0" applyFont="1" applyFill="1" applyBorder="1" applyAlignment="1">
      <alignment horizontal="left" vertical="center"/>
    </xf>
    <xf numFmtId="0" fontId="16" fillId="0" borderId="54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vertical="center"/>
    </xf>
    <xf numFmtId="0" fontId="16" fillId="0" borderId="54" xfId="0" applyFont="1" applyFill="1" applyBorder="1" applyAlignment="1">
      <alignment vertical="center"/>
    </xf>
    <xf numFmtId="0" fontId="11" fillId="0" borderId="42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2" fontId="11" fillId="0" borderId="0" xfId="0" applyNumberFormat="1" applyFont="1" applyBorder="1" applyAlignment="1">
      <alignment horizontal="left"/>
    </xf>
    <xf numFmtId="0" fontId="19" fillId="4" borderId="10" xfId="0" applyFont="1" applyFill="1" applyBorder="1"/>
    <xf numFmtId="10" fontId="19" fillId="4" borderId="11" xfId="0" applyNumberFormat="1" applyFont="1" applyFill="1" applyBorder="1"/>
    <xf numFmtId="0" fontId="19" fillId="4" borderId="11" xfId="0" applyFont="1" applyFill="1" applyBorder="1" applyAlignment="1">
      <alignment horizontal="center"/>
    </xf>
    <xf numFmtId="0" fontId="19" fillId="4" borderId="11" xfId="0" applyFont="1" applyFill="1" applyBorder="1" applyAlignment="1">
      <alignment horizontal="right"/>
    </xf>
    <xf numFmtId="43" fontId="19" fillId="4" borderId="12" xfId="1" applyFont="1" applyFill="1" applyBorder="1" applyAlignment="1">
      <alignment horizontal="center"/>
    </xf>
    <xf numFmtId="0" fontId="20" fillId="0" borderId="0" xfId="0" applyFont="1" applyBorder="1"/>
    <xf numFmtId="2" fontId="20" fillId="0" borderId="0" xfId="0" applyNumberFormat="1" applyFont="1"/>
    <xf numFmtId="0" fontId="11" fillId="0" borderId="43" xfId="0" applyFont="1" applyBorder="1"/>
    <xf numFmtId="10" fontId="11" fillId="0" borderId="32" xfId="0" applyNumberFormat="1" applyFont="1" applyBorder="1"/>
    <xf numFmtId="0" fontId="11" fillId="0" borderId="32" xfId="0" applyFont="1" applyBorder="1" applyAlignment="1">
      <alignment horizontal="right"/>
    </xf>
    <xf numFmtId="43" fontId="11" fillId="0" borderId="44" xfId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13" xfId="0" applyFont="1" applyBorder="1"/>
    <xf numFmtId="0" fontId="11" fillId="0" borderId="1" xfId="0" applyFont="1" applyBorder="1" applyAlignment="1">
      <alignment horizontal="left"/>
    </xf>
    <xf numFmtId="43" fontId="11" fillId="0" borderId="14" xfId="1" applyFont="1" applyBorder="1" applyAlignment="1">
      <alignment horizontal="center"/>
    </xf>
    <xf numFmtId="43" fontId="11" fillId="0" borderId="0" xfId="0" applyNumberFormat="1" applyFont="1" applyBorder="1"/>
    <xf numFmtId="10" fontId="11" fillId="0" borderId="1" xfId="0" applyNumberFormat="1" applyFont="1" applyBorder="1"/>
    <xf numFmtId="0" fontId="11" fillId="0" borderId="1" xfId="0" applyFont="1" applyBorder="1" applyAlignment="1">
      <alignment horizontal="right"/>
    </xf>
    <xf numFmtId="0" fontId="15" fillId="0" borderId="0" xfId="0" applyFont="1" applyBorder="1"/>
    <xf numFmtId="4" fontId="15" fillId="0" borderId="0" xfId="0" applyNumberFormat="1" applyFont="1"/>
    <xf numFmtId="0" fontId="11" fillId="4" borderId="15" xfId="0" applyFont="1" applyFill="1" applyBorder="1"/>
    <xf numFmtId="10" fontId="11" fillId="4" borderId="7" xfId="0" applyNumberFormat="1" applyFont="1" applyFill="1" applyBorder="1"/>
    <xf numFmtId="0" fontId="11" fillId="4" borderId="7" xfId="0" applyFont="1" applyFill="1" applyBorder="1" applyAlignment="1">
      <alignment horizontal="right"/>
    </xf>
    <xf numFmtId="43" fontId="11" fillId="4" borderId="16" xfId="1" quotePrefix="1" applyFont="1" applyFill="1" applyBorder="1" applyAlignment="1">
      <alignment horizontal="center"/>
    </xf>
    <xf numFmtId="0" fontId="11" fillId="4" borderId="17" xfId="0" applyFont="1" applyFill="1" applyBorder="1"/>
    <xf numFmtId="10" fontId="11" fillId="4" borderId="8" xfId="0" applyNumberFormat="1" applyFont="1" applyFill="1" applyBorder="1"/>
    <xf numFmtId="0" fontId="11" fillId="4" borderId="8" xfId="0" applyFont="1" applyFill="1" applyBorder="1" applyAlignment="1">
      <alignment horizontal="right"/>
    </xf>
    <xf numFmtId="43" fontId="11" fillId="4" borderId="18" xfId="1" quotePrefix="1" applyFont="1" applyFill="1" applyBorder="1" applyAlignment="1">
      <alignment horizontal="center"/>
    </xf>
    <xf numFmtId="0" fontId="19" fillId="0" borderId="13" xfId="0" applyFont="1" applyBorder="1"/>
    <xf numFmtId="10" fontId="19" fillId="0" borderId="1" xfId="0" applyNumberFormat="1" applyFont="1" applyBorder="1"/>
    <xf numFmtId="0" fontId="19" fillId="0" borderId="1" xfId="0" applyFont="1" applyBorder="1" applyAlignment="1">
      <alignment horizontal="right"/>
    </xf>
    <xf numFmtId="43" fontId="19" fillId="0" borderId="14" xfId="1" applyFont="1" applyBorder="1" applyAlignment="1">
      <alignment horizontal="center"/>
    </xf>
    <xf numFmtId="0" fontId="21" fillId="0" borderId="0" xfId="0" applyFont="1" applyBorder="1"/>
    <xf numFmtId="0" fontId="19" fillId="4" borderId="22" xfId="0" applyFont="1" applyFill="1" applyBorder="1"/>
    <xf numFmtId="10" fontId="11" fillId="4" borderId="9" xfId="0" applyNumberFormat="1" applyFont="1" applyFill="1" applyBorder="1"/>
    <xf numFmtId="0" fontId="19" fillId="4" borderId="9" xfId="0" applyFont="1" applyFill="1" applyBorder="1" applyAlignment="1">
      <alignment horizontal="right"/>
    </xf>
    <xf numFmtId="43" fontId="19" fillId="4" borderId="23" xfId="1" applyNumberFormat="1" applyFont="1" applyFill="1" applyBorder="1" applyAlignment="1">
      <alignment horizontal="center"/>
    </xf>
    <xf numFmtId="164" fontId="22" fillId="0" borderId="0" xfId="0" applyNumberFormat="1" applyFont="1"/>
    <xf numFmtId="164" fontId="11" fillId="0" borderId="0" xfId="0" applyNumberFormat="1" applyFont="1"/>
    <xf numFmtId="0" fontId="20" fillId="0" borderId="19" xfId="0" applyFont="1" applyFill="1" applyBorder="1"/>
    <xf numFmtId="0" fontId="20" fillId="0" borderId="20" xfId="0" applyFont="1" applyFill="1" applyBorder="1"/>
    <xf numFmtId="0" fontId="20" fillId="0" borderId="20" xfId="0" applyFont="1" applyFill="1" applyBorder="1" applyAlignment="1">
      <alignment horizontal="right"/>
    </xf>
    <xf numFmtId="43" fontId="20" fillId="0" borderId="21" xfId="1" applyFont="1" applyFill="1" applyBorder="1"/>
    <xf numFmtId="0" fontId="19" fillId="0" borderId="0" xfId="0" applyFont="1"/>
    <xf numFmtId="16" fontId="11" fillId="0" borderId="0" xfId="0" applyNumberFormat="1" applyFont="1"/>
    <xf numFmtId="166" fontId="6" fillId="0" borderId="2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4" fontId="17" fillId="6" borderId="55" xfId="4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10" fillId="0" borderId="6" xfId="0" applyFont="1" applyBorder="1" applyAlignment="1"/>
    <xf numFmtId="2" fontId="9" fillId="0" borderId="0" xfId="0" applyNumberFormat="1" applyFont="1" applyBorder="1" applyAlignment="1">
      <alignment horizontal="center"/>
    </xf>
    <xf numFmtId="10" fontId="9" fillId="0" borderId="0" xfId="0" applyNumberFormat="1" applyFont="1" applyBorder="1"/>
    <xf numFmtId="4" fontId="9" fillId="0" borderId="0" xfId="0" applyNumberFormat="1" applyFont="1" applyBorder="1"/>
    <xf numFmtId="0" fontId="10" fillId="0" borderId="0" xfId="0" applyFont="1" applyBorder="1" applyAlignment="1"/>
    <xf numFmtId="0" fontId="10" fillId="0" borderId="4" xfId="0" applyFont="1" applyBorder="1" applyAlignment="1"/>
    <xf numFmtId="4" fontId="10" fillId="0" borderId="5" xfId="0" applyNumberFormat="1" applyFont="1" applyFill="1" applyBorder="1"/>
    <xf numFmtId="0" fontId="7" fillId="5" borderId="2" xfId="0" applyFont="1" applyFill="1" applyBorder="1" applyAlignment="1">
      <alignment horizontal="center" vertical="center"/>
    </xf>
    <xf numFmtId="2" fontId="7" fillId="5" borderId="2" xfId="0" applyNumberFormat="1" applyFont="1" applyFill="1" applyBorder="1" applyAlignment="1">
      <alignment horizontal="center" vertical="center" wrapText="1"/>
    </xf>
    <xf numFmtId="43" fontId="6" fillId="0" borderId="2" xfId="1" applyFont="1" applyFill="1" applyBorder="1" applyAlignment="1"/>
    <xf numFmtId="43" fontId="6" fillId="0" borderId="2" xfId="1" applyFont="1" applyFill="1" applyBorder="1" applyAlignment="1">
      <alignment vertical="center"/>
    </xf>
    <xf numFmtId="43" fontId="7" fillId="0" borderId="2" xfId="1" applyFont="1" applyFill="1" applyBorder="1" applyAlignment="1">
      <alignment vertical="center"/>
    </xf>
    <xf numFmtId="43" fontId="6" fillId="0" borderId="2" xfId="1" applyFont="1" applyFill="1" applyBorder="1" applyAlignment="1">
      <alignment horizontal="left" vertical="center"/>
    </xf>
    <xf numFmtId="4" fontId="7" fillId="0" borderId="2" xfId="0" applyNumberFormat="1" applyFont="1" applyFill="1" applyBorder="1" applyAlignment="1"/>
    <xf numFmtId="0" fontId="24" fillId="2" borderId="0" xfId="0" applyFont="1" applyFill="1" applyBorder="1"/>
    <xf numFmtId="0" fontId="24" fillId="2" borderId="0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center"/>
    </xf>
    <xf numFmtId="4" fontId="24" fillId="2" borderId="0" xfId="0" applyNumberFormat="1" applyFont="1" applyFill="1" applyBorder="1" applyAlignment="1">
      <alignment horizontal="left"/>
    </xf>
    <xf numFmtId="169" fontId="11" fillId="5" borderId="2" xfId="0" applyNumberFormat="1" applyFont="1" applyFill="1" applyBorder="1" applyAlignment="1">
      <alignment horizontal="center" vertical="center"/>
    </xf>
    <xf numFmtId="170" fontId="11" fillId="0" borderId="0" xfId="0" applyNumberFormat="1" applyFont="1"/>
    <xf numFmtId="171" fontId="15" fillId="0" borderId="0" xfId="0" applyNumberFormat="1" applyFont="1"/>
    <xf numFmtId="0" fontId="7" fillId="2" borderId="6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43" fontId="19" fillId="0" borderId="0" xfId="1" applyFont="1" applyFill="1" applyBorder="1" applyAlignment="1">
      <alignment horizontal="center" vertical="center"/>
    </xf>
    <xf numFmtId="172" fontId="11" fillId="0" borderId="0" xfId="0" applyNumberFormat="1" applyFont="1"/>
    <xf numFmtId="0" fontId="11" fillId="0" borderId="15" xfId="0" applyFont="1" applyBorder="1"/>
    <xf numFmtId="0" fontId="11" fillId="0" borderId="7" xfId="0" applyFont="1" applyBorder="1" applyAlignment="1">
      <alignment horizontal="left"/>
    </xf>
    <xf numFmtId="43" fontId="11" fillId="0" borderId="16" xfId="1" applyFont="1" applyBorder="1" applyAlignment="1">
      <alignment horizontal="center"/>
    </xf>
    <xf numFmtId="0" fontId="16" fillId="0" borderId="53" xfId="0" applyFont="1" applyFill="1" applyBorder="1" applyAlignment="1">
      <alignment vertical="center"/>
    </xf>
    <xf numFmtId="10" fontId="11" fillId="0" borderId="7" xfId="0" applyNumberFormat="1" applyFont="1" applyBorder="1" applyAlignment="1">
      <alignment horizontal="right"/>
    </xf>
    <xf numFmtId="10" fontId="6" fillId="0" borderId="0" xfId="3" applyNumberFormat="1" applyFont="1"/>
    <xf numFmtId="43" fontId="11" fillId="7" borderId="52" xfId="1" applyFont="1" applyFill="1" applyBorder="1" applyAlignment="1">
      <alignment horizontal="center"/>
    </xf>
    <xf numFmtId="0" fontId="6" fillId="0" borderId="0" xfId="0" applyFont="1" applyFill="1"/>
    <xf numFmtId="0" fontId="6" fillId="0" borderId="55" xfId="0" applyFont="1" applyFill="1" applyBorder="1"/>
    <xf numFmtId="173" fontId="6" fillId="0" borderId="55" xfId="3" applyNumberFormat="1" applyFont="1" applyFill="1" applyBorder="1" applyAlignment="1">
      <alignment horizontal="center"/>
    </xf>
    <xf numFmtId="4" fontId="7" fillId="0" borderId="55" xfId="0" applyNumberFormat="1" applyFont="1" applyFill="1" applyBorder="1" applyAlignment="1">
      <alignment horizontal="center"/>
    </xf>
    <xf numFmtId="2" fontId="6" fillId="0" borderId="55" xfId="0" applyNumberFormat="1" applyFont="1" applyBorder="1"/>
    <xf numFmtId="2" fontId="6" fillId="0" borderId="55" xfId="0" applyNumberFormat="1" applyFont="1" applyFill="1" applyBorder="1"/>
    <xf numFmtId="173" fontId="7" fillId="0" borderId="55" xfId="3" applyNumberFormat="1" applyFont="1" applyFill="1" applyBorder="1" applyAlignment="1">
      <alignment horizontal="right"/>
    </xf>
    <xf numFmtId="2" fontId="6" fillId="0" borderId="56" xfId="0" applyNumberFormat="1" applyFont="1" applyBorder="1"/>
    <xf numFmtId="176" fontId="7" fillId="0" borderId="2" xfId="0" applyNumberFormat="1" applyFont="1" applyBorder="1"/>
    <xf numFmtId="174" fontId="7" fillId="0" borderId="5" xfId="3" applyNumberFormat="1" applyFont="1" applyBorder="1"/>
    <xf numFmtId="0" fontId="7" fillId="0" borderId="2" xfId="0" applyFont="1" applyBorder="1"/>
    <xf numFmtId="0" fontId="6" fillId="0" borderId="2" xfId="0" applyFont="1" applyBorder="1"/>
    <xf numFmtId="4" fontId="6" fillId="0" borderId="2" xfId="0" applyNumberFormat="1" applyFont="1" applyFill="1" applyBorder="1"/>
    <xf numFmtId="4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/>
    <xf numFmtId="4" fontId="6" fillId="0" borderId="2" xfId="0" applyNumberFormat="1" applyFont="1" applyBorder="1"/>
    <xf numFmtId="10" fontId="6" fillId="0" borderId="2" xfId="3" applyNumberFormat="1" applyFont="1" applyBorder="1" applyAlignment="1">
      <alignment horizontal="center"/>
    </xf>
    <xf numFmtId="174" fontId="6" fillId="0" borderId="2" xfId="3" applyNumberFormat="1" applyFont="1" applyBorder="1" applyAlignment="1">
      <alignment horizontal="center"/>
    </xf>
    <xf numFmtId="175" fontId="6" fillId="0" borderId="2" xfId="0" applyNumberFormat="1" applyFont="1" applyBorder="1"/>
    <xf numFmtId="4" fontId="11" fillId="0" borderId="2" xfId="0" applyNumberFormat="1" applyFont="1" applyBorder="1"/>
    <xf numFmtId="43" fontId="15" fillId="0" borderId="0" xfId="0" applyNumberFormat="1" applyFont="1"/>
    <xf numFmtId="0" fontId="11" fillId="0" borderId="58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43" fontId="15" fillId="0" borderId="0" xfId="1" applyFont="1"/>
    <xf numFmtId="173" fontId="6" fillId="0" borderId="2" xfId="3" applyNumberFormat="1" applyFont="1" applyBorder="1" applyAlignment="1">
      <alignment horizontal="center"/>
    </xf>
    <xf numFmtId="4" fontId="17" fillId="6" borderId="0" xfId="4" applyNumberFormat="1" applyFont="1" applyFill="1" applyBorder="1" applyAlignment="1">
      <alignment horizontal="center" vertical="center" wrapText="1"/>
    </xf>
    <xf numFmtId="0" fontId="19" fillId="0" borderId="57" xfId="0" applyFont="1" applyBorder="1" applyAlignment="1">
      <alignment horizontal="left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23" fillId="3" borderId="22" xfId="0" applyFont="1" applyFill="1" applyBorder="1" applyAlignment="1">
      <alignment horizontal="left" vertical="center" wrapText="1"/>
    </xf>
    <xf numFmtId="0" fontId="23" fillId="3" borderId="9" xfId="0" applyFont="1" applyFill="1" applyBorder="1" applyAlignment="1">
      <alignment horizontal="left" vertical="center" wrapText="1"/>
    </xf>
    <xf numFmtId="0" fontId="23" fillId="3" borderId="23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right"/>
    </xf>
    <xf numFmtId="0" fontId="11" fillId="2" borderId="4" xfId="0" applyFont="1" applyFill="1" applyBorder="1" applyAlignment="1">
      <alignment horizontal="right"/>
    </xf>
    <xf numFmtId="0" fontId="11" fillId="2" borderId="5" xfId="0" applyFont="1" applyFill="1" applyBorder="1" applyAlignment="1">
      <alignment horizontal="right"/>
    </xf>
    <xf numFmtId="0" fontId="6" fillId="5" borderId="2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/>
    </xf>
    <xf numFmtId="0" fontId="11" fillId="2" borderId="47" xfId="0" applyFont="1" applyFill="1" applyBorder="1" applyAlignment="1">
      <alignment horizontal="left"/>
    </xf>
    <xf numFmtId="0" fontId="11" fillId="2" borderId="48" xfId="0" applyFont="1" applyFill="1" applyBorder="1" applyAlignment="1">
      <alignment horizontal="left"/>
    </xf>
    <xf numFmtId="0" fontId="11" fillId="2" borderId="29" xfId="0" applyFont="1" applyFill="1" applyBorder="1" applyAlignment="1">
      <alignment horizontal="left"/>
    </xf>
    <xf numFmtId="0" fontId="11" fillId="2" borderId="30" xfId="0" applyFont="1" applyFill="1" applyBorder="1" applyAlignment="1">
      <alignment horizontal="left"/>
    </xf>
    <xf numFmtId="0" fontId="11" fillId="2" borderId="49" xfId="0" applyFont="1" applyFill="1" applyBorder="1" applyAlignment="1">
      <alignment horizontal="center"/>
    </xf>
    <xf numFmtId="0" fontId="11" fillId="2" borderId="50" xfId="0" applyFont="1" applyFill="1" applyBorder="1" applyAlignment="1">
      <alignment horizontal="center"/>
    </xf>
    <xf numFmtId="0" fontId="7" fillId="0" borderId="6" xfId="0" applyFont="1" applyBorder="1" applyAlignment="1"/>
    <xf numFmtId="0" fontId="7" fillId="0" borderId="4" xfId="0" applyFont="1" applyBorder="1" applyAlignment="1"/>
    <xf numFmtId="0" fontId="7" fillId="0" borderId="5" xfId="0" applyFont="1" applyBorder="1" applyAlignment="1"/>
    <xf numFmtId="0" fontId="7" fillId="0" borderId="6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5" xfId="0" applyFont="1" applyBorder="1"/>
    <xf numFmtId="0" fontId="7" fillId="2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25" fillId="2" borderId="0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</cellXfs>
  <cellStyles count="8">
    <cellStyle name="Millares" xfId="1" builtinId="3"/>
    <cellStyle name="Moneda" xfId="2" builtinId="4"/>
    <cellStyle name="Normal" xfId="0" builtinId="0"/>
    <cellStyle name="Normal 2" xfId="4" xr:uid="{00000000-0005-0000-0000-000003000000}"/>
    <cellStyle name="Normal 3" xfId="5" xr:uid="{00000000-0005-0000-0000-000004000000}"/>
    <cellStyle name="Normal 4" xfId="6" xr:uid="{00000000-0005-0000-0000-000005000000}"/>
    <cellStyle name="Normal 5" xfId="7" xr:uid="{00000000-0005-0000-0000-000006000000}"/>
    <cellStyle name="Porcentaj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7" Type="http://schemas.openxmlformats.org/officeDocument/2006/relationships/styles" Target="style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theme" Target="theme/theme1.xml" /><Relationship Id="rId5" Type="http://schemas.openxmlformats.org/officeDocument/2006/relationships/worksheet" Target="worksheets/sheet5.xml" /><Relationship Id="rId4" Type="http://schemas.openxmlformats.org/officeDocument/2006/relationships/worksheet" Target="worksheets/sheet4.xml" /><Relationship Id="rId9" Type="http://schemas.openxmlformats.org/officeDocument/2006/relationships/calcChain" Target="calcChain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328775</xdr:colOff>
      <xdr:row>2</xdr:row>
      <xdr:rowOff>5064</xdr:rowOff>
    </xdr:from>
    <xdr:ext cx="5694688" cy="861774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16555" y="355584"/>
          <a:ext cx="5694688" cy="861774"/>
        </a:xfrm>
        <a:prstGeom prst="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>
            <a:lnSpc>
              <a:spcPts val="1500"/>
            </a:lnSpc>
          </a:pPr>
          <a:r>
            <a:rPr lang="es-ES" sz="1200" b="0" cap="none" spc="0">
              <a:ln>
                <a:noFill/>
              </a:ln>
              <a:solidFill>
                <a:schemeClr val="tx1"/>
              </a:solidFill>
              <a:effectLst/>
              <a:latin typeface="Arial Black" pitchFamily="34" charset="0"/>
            </a:rPr>
            <a:t>"MEJORAMIENTO DEL SERVICIO DE TRANSITABILIDAD DEL CAMINO VECINAL SIGUES - SANTA ROSA DE SIGUES - EL VERDE - CHANGOMARCA, DISTRITO DE QUEROCOTO, PROVINCIA DE CHOTA, DEPARTAMENTO DE CAJAMARCA"</a:t>
          </a:r>
        </a:p>
      </xdr:txBody>
    </xdr:sp>
    <xdr:clientData/>
  </xdr:oneCellAnchor>
  <xdr:twoCellAnchor editAs="oneCell">
    <xdr:from>
      <xdr:col>5</xdr:col>
      <xdr:colOff>133351</xdr:colOff>
      <xdr:row>7</xdr:row>
      <xdr:rowOff>80010</xdr:rowOff>
    </xdr:from>
    <xdr:to>
      <xdr:col>8</xdr:col>
      <xdr:colOff>161926</xdr:colOff>
      <xdr:row>11</xdr:row>
      <xdr:rowOff>102421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11091" y="1306830"/>
          <a:ext cx="2543175" cy="7234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</xdr:colOff>
      <xdr:row>0</xdr:row>
      <xdr:rowOff>123825</xdr:rowOff>
    </xdr:from>
    <xdr:ext cx="5648325" cy="857250"/>
    <xdr:sp macro="" textlink="">
      <xdr:nvSpPr>
        <xdr:cNvPr id="8" name="7 Rectángul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38275" y="123825"/>
          <a:ext cx="5648325" cy="857250"/>
        </a:xfrm>
        <a:prstGeom prst="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ctr">
            <a:lnSpc>
              <a:spcPts val="1600"/>
            </a:lnSpc>
          </a:pPr>
          <a:r>
            <a:rPr lang="es-ES" sz="1050" b="0" cap="none" spc="0" baseline="0">
              <a:ln>
                <a:noFill/>
              </a:ln>
              <a:solidFill>
                <a:schemeClr val="tx1"/>
              </a:solidFill>
              <a:effectLst/>
              <a:latin typeface="Arial Black" pitchFamily="34" charset="0"/>
              <a:ea typeface="+mn-ea"/>
              <a:cs typeface="+mn-cs"/>
            </a:rPr>
            <a:t>"MEJORAMIENTO DEL SERVICIO DE TRANSITABILIDAD DEL CAMINO VECINAL SIGUES - SANTA ROSA DE SIGUES - EL VERDE - CHANGOMARCA, DISTRITO DE QUEROCOTO, PROVINCIA DE CHOTA, DEPARTAMENTO DE CAJAMARCA"</a:t>
          </a:r>
        </a:p>
      </xdr:txBody>
    </xdr:sp>
    <xdr:clientData/>
  </xdr:oneCellAnchor>
  <xdr:twoCellAnchor editAs="oneCell">
    <xdr:from>
      <xdr:col>6</xdr:col>
      <xdr:colOff>76200</xdr:colOff>
      <xdr:row>6</xdr:row>
      <xdr:rowOff>104774</xdr:rowOff>
    </xdr:from>
    <xdr:to>
      <xdr:col>7</xdr:col>
      <xdr:colOff>881743</xdr:colOff>
      <xdr:row>9</xdr:row>
      <xdr:rowOff>66674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67350" y="1076324"/>
          <a:ext cx="1662793" cy="447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552450</xdr:colOff>
      <xdr:row>1</xdr:row>
      <xdr:rowOff>84043</xdr:rowOff>
    </xdr:from>
    <xdr:ext cx="7029449" cy="707886"/>
    <xdr:sp macro="" textlink="">
      <xdr:nvSpPr>
        <xdr:cNvPr id="8" name="7 Rectángul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962150" y="259303"/>
          <a:ext cx="7029449" cy="707886"/>
        </a:xfrm>
        <a:prstGeom prst="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>
            <a:lnSpc>
              <a:spcPts val="1600"/>
            </a:lnSpc>
          </a:pPr>
          <a:r>
            <a:rPr lang="es-PE" sz="1200" b="0" cap="none" spc="0" baseline="0">
              <a:ln>
                <a:noFill/>
              </a:ln>
              <a:solidFill>
                <a:schemeClr val="tx1"/>
              </a:solidFill>
              <a:effectLst/>
              <a:latin typeface="Arial Black" pitchFamily="34" charset="0"/>
              <a:ea typeface="+mn-ea"/>
              <a:cs typeface="+mn-cs"/>
            </a:rPr>
            <a:t>"MEJORAMIENTO DEL SERVICIO DE TRANSITABILIDAD DEL CAMINO VECINAL SIGUES - SANTA ROSA DE SIGUES - EL VERDE - CHANGOMARCA, DISTRITO DE QUEROCOTO, PROVINCIA DE CHOTA, DEPARTAMENTO DE CAJAMARCA"</a:t>
          </a:r>
        </a:p>
      </xdr:txBody>
    </xdr:sp>
    <xdr:clientData/>
  </xdr:oneCellAnchor>
  <xdr:twoCellAnchor editAs="oneCell">
    <xdr:from>
      <xdr:col>5</xdr:col>
      <xdr:colOff>714375</xdr:colOff>
      <xdr:row>5</xdr:row>
      <xdr:rowOff>142875</xdr:rowOff>
    </xdr:from>
    <xdr:to>
      <xdr:col>8</xdr:col>
      <xdr:colOff>704850</xdr:colOff>
      <xdr:row>9</xdr:row>
      <xdr:rowOff>70036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6075" y="1042035"/>
          <a:ext cx="2543175" cy="6739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7625</xdr:colOff>
      <xdr:row>0</xdr:row>
      <xdr:rowOff>232830</xdr:rowOff>
    </xdr:from>
    <xdr:ext cx="6393175" cy="1047330"/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7625" y="232830"/>
          <a:ext cx="6393175" cy="1047330"/>
        </a:xfrm>
        <a:prstGeom prst="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ctr">
            <a:lnSpc>
              <a:spcPts val="1900"/>
            </a:lnSpc>
          </a:pPr>
          <a:r>
            <a:rPr lang="es-ES" sz="1200" b="0" cap="none" spc="0" baseline="0">
              <a:ln>
                <a:noFill/>
              </a:ln>
              <a:solidFill>
                <a:schemeClr val="tx1"/>
              </a:solidFill>
              <a:effectLst/>
              <a:latin typeface="Arial Black" pitchFamily="34" charset="0"/>
              <a:ea typeface="+mn-ea"/>
              <a:cs typeface="+mn-cs"/>
            </a:rPr>
            <a:t>"MEJORAMIENTO DEL SERVICIO DE TRANSITABILIDAD DEL CAMINO VECINAL SIGUES - SANTA ROSA DE SIGUES - EL VERDE - CHANGOMARCA, DISTRITO DE QUEROCOTO, PROVINCIA DE CHOTA, DEPARTAMENTO DE CAJAMARCA"</a:t>
          </a:r>
        </a:p>
      </xdr:txBody>
    </xdr:sp>
    <xdr:clientData/>
  </xdr:oneCellAnchor>
  <xdr:twoCellAnchor editAs="oneCell">
    <xdr:from>
      <xdr:col>0</xdr:col>
      <xdr:colOff>0</xdr:colOff>
      <xdr:row>3</xdr:row>
      <xdr:rowOff>238636</xdr:rowOff>
    </xdr:from>
    <xdr:to>
      <xdr:col>2</xdr:col>
      <xdr:colOff>1891665</xdr:colOff>
      <xdr:row>6</xdr:row>
      <xdr:rowOff>9075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26416"/>
          <a:ext cx="2341245" cy="61625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495300</xdr:colOff>
      <xdr:row>0</xdr:row>
      <xdr:rowOff>182880</xdr:rowOff>
    </xdr:from>
    <xdr:ext cx="7267575" cy="784860"/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226820" y="182880"/>
          <a:ext cx="7267575" cy="784860"/>
        </a:xfrm>
        <a:prstGeom prst="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ctr">
            <a:lnSpc>
              <a:spcPts val="1900"/>
            </a:lnSpc>
          </a:pPr>
          <a:r>
            <a:rPr lang="es-ES" sz="1100" b="0" cap="none" spc="0" baseline="0">
              <a:ln>
                <a:noFill/>
              </a:ln>
              <a:solidFill>
                <a:schemeClr val="tx1"/>
              </a:solidFill>
              <a:effectLst/>
              <a:latin typeface="Arial Black" pitchFamily="34" charset="0"/>
              <a:ea typeface="+mn-ea"/>
              <a:cs typeface="+mn-cs"/>
            </a:rPr>
            <a:t>"MEJORAMIENTO DEL SERVICIO DE TRANSITABILIDAD DEL CAMINO VECINAL SIGUES - SANTA ROSA DE SIGUES - EL VERDE - CHANGOMARCA, DISTRITO DE QUEROCOTO, PROVINCIA DE CHOTA, DEPARTAMENTO DE CAJAMARCA"</a:t>
          </a:r>
        </a:p>
      </xdr:txBody>
    </xdr:sp>
    <xdr:clientData/>
  </xdr:oneCellAnchor>
  <xdr:twoCellAnchor editAs="oneCell">
    <xdr:from>
      <xdr:col>5</xdr:col>
      <xdr:colOff>190500</xdr:colOff>
      <xdr:row>2</xdr:row>
      <xdr:rowOff>142875</xdr:rowOff>
    </xdr:from>
    <xdr:to>
      <xdr:col>7</xdr:col>
      <xdr:colOff>857250</xdr:colOff>
      <xdr:row>5</xdr:row>
      <xdr:rowOff>70036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91225" y="1000125"/>
          <a:ext cx="2476500" cy="6701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 /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1" Type="http://schemas.openxmlformats.org/officeDocument/2006/relationships/printerSettings" Target="../printerSettings/printerSettings4.bin" /><Relationship Id="rId4" Type="http://schemas.openxmlformats.org/officeDocument/2006/relationships/comments" Target="../comments1.xml" 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 /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56"/>
  <sheetViews>
    <sheetView view="pageBreakPreview" topLeftCell="A23" zoomScale="90" zoomScaleNormal="100" zoomScaleSheetLayoutView="90" workbookViewId="0">
      <selection activeCell="K22" sqref="K22"/>
    </sheetView>
  </sheetViews>
  <sheetFormatPr defaultColWidth="11.4609375" defaultRowHeight="12.75" x14ac:dyDescent="0.15"/>
  <cols>
    <col min="1" max="1" width="11.4609375" style="29"/>
    <col min="2" max="2" width="2.96484375" style="29" customWidth="1"/>
    <col min="3" max="3" width="4.3125" style="29" customWidth="1"/>
    <col min="4" max="4" width="28.9921875" style="29" customWidth="1"/>
    <col min="5" max="5" width="21.84375" style="29" customWidth="1"/>
    <col min="6" max="6" width="12.26953125" style="29" customWidth="1"/>
    <col min="7" max="7" width="6.7421875" style="29" customWidth="1"/>
    <col min="8" max="8" width="17.6640625" style="29" customWidth="1"/>
    <col min="9" max="9" width="3.50390625" style="29" customWidth="1"/>
    <col min="10" max="10" width="11.8671875" style="29" customWidth="1"/>
    <col min="11" max="11" width="22.7890625" style="29" customWidth="1"/>
    <col min="12" max="16384" width="11.4609375" style="29"/>
  </cols>
  <sheetData>
    <row r="1" spans="1:10" x14ac:dyDescent="0.15">
      <c r="A1" s="27"/>
    </row>
    <row r="2" spans="1:10" x14ac:dyDescent="0.15">
      <c r="A2" s="27"/>
      <c r="B2" s="71"/>
      <c r="C2" s="71"/>
      <c r="D2" s="71"/>
      <c r="E2" s="71"/>
      <c r="F2" s="71"/>
      <c r="G2" s="71"/>
      <c r="H2" s="71"/>
    </row>
    <row r="3" spans="1:10" x14ac:dyDescent="0.15">
      <c r="B3" s="71"/>
      <c r="C3" s="71"/>
      <c r="D3" s="71"/>
      <c r="E3" s="71"/>
      <c r="F3" s="71"/>
      <c r="G3" s="71"/>
      <c r="H3" s="71"/>
    </row>
    <row r="4" spans="1:10" x14ac:dyDescent="0.15">
      <c r="B4" s="71"/>
      <c r="C4" s="71"/>
      <c r="D4" s="27"/>
      <c r="E4" s="27"/>
      <c r="F4" s="27"/>
      <c r="G4" s="27"/>
      <c r="H4" s="27"/>
    </row>
    <row r="5" spans="1:10" x14ac:dyDescent="0.15">
      <c r="B5" s="71"/>
      <c r="C5" s="71"/>
      <c r="D5" s="27"/>
      <c r="E5" s="27"/>
      <c r="F5" s="27"/>
      <c r="G5" s="27"/>
      <c r="H5" s="27"/>
    </row>
    <row r="6" spans="1:10" x14ac:dyDescent="0.15">
      <c r="B6" s="71"/>
      <c r="C6" s="71"/>
      <c r="D6" s="27"/>
      <c r="E6" s="27"/>
      <c r="F6" s="27"/>
      <c r="G6" s="27"/>
      <c r="H6" s="27"/>
    </row>
    <row r="7" spans="1:10" x14ac:dyDescent="0.15">
      <c r="B7" s="71"/>
      <c r="C7" s="71"/>
      <c r="D7" s="27"/>
      <c r="E7" s="27"/>
      <c r="F7" s="27"/>
      <c r="G7" s="27"/>
      <c r="H7" s="27"/>
    </row>
    <row r="8" spans="1:10" x14ac:dyDescent="0.15">
      <c r="B8" s="72"/>
      <c r="C8" s="72"/>
      <c r="D8" s="72"/>
      <c r="E8" s="72"/>
      <c r="F8" s="71"/>
      <c r="G8" s="71"/>
      <c r="H8" s="71"/>
    </row>
    <row r="9" spans="1:10" x14ac:dyDescent="0.15">
      <c r="B9" s="72"/>
      <c r="C9" s="72"/>
      <c r="D9" s="72"/>
      <c r="E9" s="72"/>
      <c r="F9" s="71"/>
      <c r="G9" s="71"/>
      <c r="H9" s="71"/>
    </row>
    <row r="10" spans="1:10" x14ac:dyDescent="0.15">
      <c r="B10" s="27"/>
      <c r="C10" s="71" t="s">
        <v>110</v>
      </c>
      <c r="D10" s="71"/>
      <c r="E10" s="73"/>
      <c r="F10" s="27"/>
      <c r="G10" s="27"/>
      <c r="H10" s="27"/>
      <c r="I10" s="74"/>
    </row>
    <row r="11" spans="1:10" x14ac:dyDescent="0.15">
      <c r="B11" s="27"/>
      <c r="C11" s="71" t="s">
        <v>90</v>
      </c>
      <c r="D11" s="71"/>
      <c r="E11" s="71"/>
      <c r="F11" s="27"/>
      <c r="G11" s="27"/>
      <c r="H11" s="27"/>
      <c r="I11" s="27"/>
    </row>
    <row r="12" spans="1:10" x14ac:dyDescent="0.15">
      <c r="B12" s="27"/>
      <c r="C12" s="71"/>
      <c r="D12" s="71"/>
      <c r="E12" s="71"/>
      <c r="F12" s="27"/>
      <c r="G12" s="27"/>
      <c r="H12" s="27"/>
      <c r="I12" s="27"/>
      <c r="J12" s="75"/>
    </row>
    <row r="13" spans="1:10" x14ac:dyDescent="0.15">
      <c r="B13" s="27"/>
      <c r="C13" s="71"/>
      <c r="D13" s="71"/>
      <c r="E13" s="27" t="s">
        <v>37</v>
      </c>
      <c r="F13" s="27"/>
      <c r="G13" s="27"/>
      <c r="H13" s="76" t="s">
        <v>8</v>
      </c>
      <c r="I13" s="27"/>
      <c r="J13" s="75"/>
    </row>
    <row r="14" spans="1:10" x14ac:dyDescent="0.15">
      <c r="B14" s="27"/>
      <c r="C14" s="27" t="s">
        <v>76</v>
      </c>
      <c r="D14" s="27"/>
      <c r="E14" s="27"/>
      <c r="F14" s="77" t="s">
        <v>0</v>
      </c>
      <c r="G14" s="77"/>
      <c r="H14" s="165">
        <f>+H29</f>
        <v>1057852.82</v>
      </c>
      <c r="I14" s="27"/>
      <c r="J14" s="75"/>
    </row>
    <row r="15" spans="1:10" ht="14.25" x14ac:dyDescent="0.2">
      <c r="B15" s="205" t="s">
        <v>56</v>
      </c>
      <c r="C15" s="205"/>
      <c r="D15" s="205"/>
      <c r="E15" s="205"/>
      <c r="F15" s="205"/>
      <c r="G15" s="205"/>
      <c r="H15" s="205"/>
      <c r="I15" s="205"/>
      <c r="J15" s="75"/>
    </row>
    <row r="16" spans="1:10" ht="30.75" customHeight="1" thickBot="1" x14ac:dyDescent="0.2">
      <c r="B16" s="71"/>
      <c r="C16" s="204" t="s">
        <v>57</v>
      </c>
      <c r="D16" s="204"/>
      <c r="E16" s="204"/>
      <c r="F16" s="204"/>
      <c r="G16" s="204"/>
      <c r="H16" s="204"/>
      <c r="I16" s="72"/>
      <c r="J16" s="75"/>
    </row>
    <row r="17" spans="2:13" ht="14.25" customHeight="1" thickBot="1" x14ac:dyDescent="0.2">
      <c r="B17" s="27"/>
      <c r="C17" s="28"/>
      <c r="D17" s="197" t="s">
        <v>86</v>
      </c>
      <c r="E17" s="197" t="s">
        <v>9</v>
      </c>
      <c r="F17" s="198"/>
      <c r="G17" s="198"/>
      <c r="H17" s="199" t="s">
        <v>10</v>
      </c>
      <c r="I17" s="78"/>
      <c r="J17" s="79"/>
    </row>
    <row r="18" spans="2:13" ht="14.25" customHeight="1" thickBot="1" x14ac:dyDescent="0.2">
      <c r="B18" s="27"/>
      <c r="C18" s="28"/>
      <c r="D18" s="80"/>
      <c r="E18" s="203" t="s">
        <v>128</v>
      </c>
      <c r="F18" s="195"/>
      <c r="G18" s="195"/>
      <c r="H18" s="196"/>
      <c r="I18" s="78"/>
      <c r="J18" s="79"/>
    </row>
    <row r="19" spans="2:13" ht="14.25" customHeight="1" x14ac:dyDescent="0.15">
      <c r="B19" s="27"/>
      <c r="C19" s="28"/>
      <c r="D19" s="80">
        <v>1</v>
      </c>
      <c r="E19" s="137" t="s">
        <v>118</v>
      </c>
      <c r="F19" s="136"/>
      <c r="G19" s="138"/>
      <c r="H19" s="173">
        <v>47001.3</v>
      </c>
      <c r="I19" s="78"/>
      <c r="J19" s="79"/>
    </row>
    <row r="20" spans="2:13" ht="14.25" customHeight="1" x14ac:dyDescent="0.15">
      <c r="B20" s="27"/>
      <c r="C20" s="28"/>
      <c r="D20" s="81">
        <v>2</v>
      </c>
      <c r="E20" s="170" t="s">
        <v>119</v>
      </c>
      <c r="F20" s="85"/>
      <c r="G20" s="86"/>
      <c r="H20" s="173">
        <v>4158.5</v>
      </c>
      <c r="I20" s="139"/>
      <c r="J20" s="79"/>
    </row>
    <row r="21" spans="2:13" ht="14.25" customHeight="1" x14ac:dyDescent="0.15">
      <c r="B21" s="27"/>
      <c r="C21" s="28"/>
      <c r="D21" s="81">
        <v>3</v>
      </c>
      <c r="E21" s="82" t="s">
        <v>120</v>
      </c>
      <c r="F21" s="83"/>
      <c r="G21" s="84"/>
      <c r="H21" s="173">
        <v>428446.86</v>
      </c>
      <c r="I21" s="139"/>
      <c r="J21" s="79"/>
    </row>
    <row r="22" spans="2:13" ht="14.25" customHeight="1" x14ac:dyDescent="0.15">
      <c r="B22" s="27"/>
      <c r="C22" s="28"/>
      <c r="D22" s="81">
        <v>4</v>
      </c>
      <c r="E22" s="82" t="s">
        <v>121</v>
      </c>
      <c r="F22" s="83"/>
      <c r="G22" s="84"/>
      <c r="H22" s="173">
        <v>247141.12</v>
      </c>
      <c r="I22" s="139"/>
      <c r="J22" s="194">
        <f>+SUM(H19:H22)</f>
        <v>726747.78</v>
      </c>
    </row>
    <row r="23" spans="2:13" ht="14.25" customHeight="1" x14ac:dyDescent="0.15">
      <c r="B23" s="27"/>
      <c r="C23" s="28"/>
      <c r="D23" s="81">
        <v>5</v>
      </c>
      <c r="E23" s="82" t="s">
        <v>122</v>
      </c>
      <c r="F23" s="83"/>
      <c r="G23" s="84"/>
      <c r="H23" s="173">
        <v>257574.56</v>
      </c>
      <c r="I23" s="202"/>
      <c r="J23" s="194"/>
    </row>
    <row r="24" spans="2:13" ht="14.25" customHeight="1" x14ac:dyDescent="0.15">
      <c r="B24" s="27"/>
      <c r="C24" s="28"/>
      <c r="D24" s="81">
        <v>6</v>
      </c>
      <c r="E24" s="82" t="s">
        <v>123</v>
      </c>
      <c r="F24" s="85"/>
      <c r="G24" s="86"/>
      <c r="H24" s="173">
        <v>9957.89</v>
      </c>
      <c r="I24" s="78"/>
      <c r="J24" s="79"/>
    </row>
    <row r="25" spans="2:13" ht="14.25" customHeight="1" x14ac:dyDescent="0.15">
      <c r="B25" s="27"/>
      <c r="C25" s="28"/>
      <c r="D25" s="81">
        <v>7</v>
      </c>
      <c r="E25" s="82" t="s">
        <v>124</v>
      </c>
      <c r="F25" s="85"/>
      <c r="G25" s="86"/>
      <c r="H25" s="173">
        <v>14810.6</v>
      </c>
      <c r="I25" s="78"/>
      <c r="J25" s="79"/>
    </row>
    <row r="26" spans="2:13" ht="14.25" customHeight="1" x14ac:dyDescent="0.15">
      <c r="B26" s="27"/>
      <c r="C26" s="28"/>
      <c r="D26" s="81">
        <v>8</v>
      </c>
      <c r="E26" s="82" t="s">
        <v>125</v>
      </c>
      <c r="F26" s="85"/>
      <c r="G26" s="86"/>
      <c r="H26" s="173">
        <v>17272.580000000002</v>
      </c>
      <c r="I26" s="78"/>
      <c r="J26" s="79"/>
    </row>
    <row r="27" spans="2:13" ht="14.25" customHeight="1" x14ac:dyDescent="0.15">
      <c r="B27" s="27"/>
      <c r="C27" s="28"/>
      <c r="D27" s="81">
        <v>9</v>
      </c>
      <c r="E27" s="82" t="s">
        <v>126</v>
      </c>
      <c r="F27" s="83"/>
      <c r="G27" s="84"/>
      <c r="H27" s="173">
        <v>31489.41</v>
      </c>
      <c r="I27" s="78"/>
      <c r="J27" s="79"/>
    </row>
    <row r="28" spans="2:13" ht="14.25" customHeight="1" thickBot="1" x14ac:dyDescent="0.2">
      <c r="B28" s="27"/>
      <c r="C28" s="28"/>
      <c r="D28" s="87"/>
      <c r="E28" s="28"/>
      <c r="F28" s="28"/>
      <c r="G28" s="28"/>
      <c r="H28" s="88"/>
      <c r="I28" s="78"/>
      <c r="J28" s="29">
        <v>32000</v>
      </c>
    </row>
    <row r="29" spans="2:13" ht="14.25" customHeight="1" x14ac:dyDescent="0.15">
      <c r="B29" s="27"/>
      <c r="C29" s="89"/>
      <c r="D29" s="90" t="s">
        <v>58</v>
      </c>
      <c r="E29" s="91"/>
      <c r="F29" s="92"/>
      <c r="G29" s="93"/>
      <c r="H29" s="94">
        <f>+SUM(H19:H27)</f>
        <v>1057852.82</v>
      </c>
      <c r="I29" s="95"/>
      <c r="J29" s="166">
        <f>+J28/H36</f>
        <v>2.5610434510553504E-2</v>
      </c>
      <c r="L29" s="29">
        <v>100</v>
      </c>
      <c r="M29" s="29">
        <f>+J29*L29</f>
        <v>2.5610434510553501</v>
      </c>
    </row>
    <row r="30" spans="2:13" ht="9" customHeight="1" x14ac:dyDescent="0.15">
      <c r="B30" s="27"/>
      <c r="C30" s="89"/>
      <c r="D30" s="97"/>
      <c r="E30" s="98"/>
      <c r="F30" s="99"/>
      <c r="G30" s="99"/>
      <c r="H30" s="100"/>
      <c r="I30" s="95"/>
      <c r="J30" s="96"/>
    </row>
    <row r="31" spans="2:13" x14ac:dyDescent="0.15">
      <c r="B31" s="27"/>
      <c r="C31" s="101"/>
      <c r="D31" s="102" t="s">
        <v>11</v>
      </c>
      <c r="E31" s="106">
        <f>+CONSOLIDADO!F25</f>
        <v>0.12115742</v>
      </c>
      <c r="F31" s="103" t="s">
        <v>40</v>
      </c>
      <c r="G31" s="103"/>
      <c r="H31" s="104">
        <f>H29*E31</f>
        <v>128166.71841092441</v>
      </c>
      <c r="I31" s="105"/>
      <c r="J31" s="162">
        <f>+E31</f>
        <v>0.12115742</v>
      </c>
      <c r="K31" s="29">
        <f>+J31*100</f>
        <v>12.115742000000001</v>
      </c>
    </row>
    <row r="32" spans="2:13" x14ac:dyDescent="0.15">
      <c r="B32" s="27"/>
      <c r="C32" s="101"/>
      <c r="D32" s="102" t="s">
        <v>87</v>
      </c>
      <c r="E32" s="106">
        <v>0.06</v>
      </c>
      <c r="F32" s="103" t="s">
        <v>40</v>
      </c>
      <c r="G32" s="103"/>
      <c r="H32" s="104">
        <f>+H29*E32</f>
        <v>63471.169200000004</v>
      </c>
      <c r="I32" s="105"/>
      <c r="J32" s="162">
        <f>+E32</f>
        <v>0.06</v>
      </c>
    </row>
    <row r="33" spans="2:11" x14ac:dyDescent="0.15">
      <c r="B33" s="27"/>
      <c r="C33" s="27"/>
      <c r="D33" s="102"/>
      <c r="E33" s="106"/>
      <c r="F33" s="107"/>
      <c r="G33" s="107"/>
      <c r="H33" s="104"/>
      <c r="I33" s="108"/>
      <c r="J33" s="109"/>
    </row>
    <row r="34" spans="2:11" ht="6" customHeight="1" x14ac:dyDescent="0.15">
      <c r="B34" s="27"/>
      <c r="C34" s="27"/>
      <c r="D34" s="110"/>
      <c r="E34" s="111"/>
      <c r="F34" s="112"/>
      <c r="G34" s="112"/>
      <c r="H34" s="113" t="s">
        <v>45</v>
      </c>
      <c r="I34" s="108"/>
      <c r="J34" s="79"/>
    </row>
    <row r="35" spans="2:11" ht="6" customHeight="1" x14ac:dyDescent="0.15">
      <c r="B35" s="27"/>
      <c r="C35" s="27"/>
      <c r="D35" s="114"/>
      <c r="E35" s="115"/>
      <c r="F35" s="116"/>
      <c r="G35" s="116"/>
      <c r="H35" s="117"/>
      <c r="I35" s="108"/>
      <c r="J35" s="79"/>
    </row>
    <row r="36" spans="2:11" x14ac:dyDescent="0.15">
      <c r="B36" s="27"/>
      <c r="C36" s="27"/>
      <c r="D36" s="118" t="s">
        <v>46</v>
      </c>
      <c r="E36" s="119"/>
      <c r="F36" s="120"/>
      <c r="G36" s="120"/>
      <c r="H36" s="121">
        <f>ROUND(H29+H31+H32,2)</f>
        <v>1249490.71</v>
      </c>
      <c r="I36" s="108"/>
      <c r="J36" s="79"/>
      <c r="K36" s="29">
        <v>30117.557036759998</v>
      </c>
    </row>
    <row r="37" spans="2:11" x14ac:dyDescent="0.15">
      <c r="B37" s="27"/>
      <c r="C37" s="27"/>
      <c r="D37" s="102" t="s">
        <v>88</v>
      </c>
      <c r="E37" s="106">
        <v>0.18</v>
      </c>
      <c r="F37" s="103" t="s">
        <v>53</v>
      </c>
      <c r="G37" s="103"/>
      <c r="H37" s="104">
        <f>+H36*E37</f>
        <v>224908.3278</v>
      </c>
      <c r="I37" s="108"/>
      <c r="J37" s="162">
        <f>+E37</f>
        <v>0.18</v>
      </c>
    </row>
    <row r="38" spans="2:11" ht="6" customHeight="1" x14ac:dyDescent="0.15">
      <c r="B38" s="27"/>
      <c r="C38" s="27"/>
      <c r="D38" s="110"/>
      <c r="E38" s="111"/>
      <c r="F38" s="112"/>
      <c r="G38" s="112"/>
      <c r="H38" s="113" t="s">
        <v>45</v>
      </c>
      <c r="I38" s="108"/>
      <c r="J38" s="79"/>
    </row>
    <row r="39" spans="2:11" ht="6" customHeight="1" x14ac:dyDescent="0.15">
      <c r="B39" s="27"/>
      <c r="C39" s="27"/>
      <c r="D39" s="114"/>
      <c r="E39" s="115"/>
      <c r="F39" s="116"/>
      <c r="G39" s="116"/>
      <c r="H39" s="117"/>
      <c r="I39" s="108"/>
      <c r="J39" s="79"/>
    </row>
    <row r="40" spans="2:11" x14ac:dyDescent="0.15">
      <c r="B40" s="27"/>
      <c r="C40" s="27"/>
      <c r="D40" s="118" t="s">
        <v>89</v>
      </c>
      <c r="E40" s="119"/>
      <c r="F40" s="120"/>
      <c r="G40" s="120"/>
      <c r="H40" s="121">
        <f>+H36+H37</f>
        <v>1474399.0378</v>
      </c>
      <c r="I40" s="108"/>
      <c r="J40" s="79"/>
    </row>
    <row r="41" spans="2:11" x14ac:dyDescent="0.15">
      <c r="B41" s="27"/>
      <c r="C41" s="27"/>
      <c r="D41" s="102" t="s">
        <v>54</v>
      </c>
      <c r="E41" s="106">
        <f>SUPERVISION!E9</f>
        <v>4.7595663182682525E-2</v>
      </c>
      <c r="F41" s="103" t="s">
        <v>53</v>
      </c>
      <c r="G41" s="103"/>
      <c r="H41" s="104">
        <f>SUPERVISION!E9*H40</f>
        <v>70175</v>
      </c>
      <c r="I41" s="108"/>
      <c r="J41" s="162">
        <f>+E41</f>
        <v>4.7595663182682525E-2</v>
      </c>
      <c r="K41" s="29">
        <f>+J41*100</f>
        <v>4.7595663182682522</v>
      </c>
    </row>
    <row r="42" spans="2:11" x14ac:dyDescent="0.15">
      <c r="B42" s="27"/>
      <c r="C42" s="27"/>
      <c r="D42" s="167" t="s">
        <v>82</v>
      </c>
      <c r="E42" s="171">
        <f>+H42/H40</f>
        <v>4.4424879778634914E-2</v>
      </c>
      <c r="F42" s="168"/>
      <c r="G42" s="168"/>
      <c r="H42" s="169">
        <v>65500</v>
      </c>
      <c r="I42" s="108"/>
      <c r="J42" s="200">
        <f>+E42</f>
        <v>4.4424879778634914E-2</v>
      </c>
      <c r="K42" s="29">
        <f>+J42*100</f>
        <v>4.4424879778634914</v>
      </c>
    </row>
    <row r="43" spans="2:11" x14ac:dyDescent="0.15">
      <c r="B43" s="27"/>
      <c r="C43" s="27"/>
      <c r="D43" s="167" t="s">
        <v>127</v>
      </c>
      <c r="E43" s="171">
        <f>+H43/H40</f>
        <v>0.1154419499988092</v>
      </c>
      <c r="F43" s="168"/>
      <c r="G43" s="168"/>
      <c r="H43" s="169">
        <v>170207.5</v>
      </c>
      <c r="I43" s="108"/>
      <c r="J43" s="200"/>
    </row>
    <row r="44" spans="2:11" ht="16.5" customHeight="1" thickBot="1" x14ac:dyDescent="0.2">
      <c r="B44" s="27"/>
      <c r="C44" s="27"/>
      <c r="D44" s="114"/>
      <c r="E44" s="115"/>
      <c r="F44" s="116"/>
      <c r="G44" s="116"/>
      <c r="H44" s="117"/>
      <c r="I44" s="108"/>
      <c r="J44" s="79"/>
    </row>
    <row r="45" spans="2:11" ht="13.5" thickBot="1" x14ac:dyDescent="0.2">
      <c r="B45" s="122"/>
      <c r="C45" s="27"/>
      <c r="D45" s="123" t="s">
        <v>12</v>
      </c>
      <c r="E45" s="124"/>
      <c r="F45" s="125" t="s">
        <v>0</v>
      </c>
      <c r="G45" s="125"/>
      <c r="H45" s="126">
        <f>H40+H41+H42+H43</f>
        <v>1780281.5378</v>
      </c>
      <c r="I45" s="27"/>
      <c r="J45" s="127">
        <f>H45/37.055</f>
        <v>48044.30003508299</v>
      </c>
      <c r="K45" s="128"/>
    </row>
    <row r="46" spans="2:11" ht="27" hidden="1" customHeight="1" thickBot="1" x14ac:dyDescent="0.2">
      <c r="B46" s="122"/>
      <c r="C46" s="27"/>
      <c r="D46" s="206" t="s">
        <v>106</v>
      </c>
      <c r="E46" s="207"/>
      <c r="F46" s="207"/>
      <c r="G46" s="207"/>
      <c r="H46" s="208"/>
      <c r="I46" s="27"/>
      <c r="J46" s="75"/>
      <c r="K46" s="128"/>
    </row>
    <row r="47" spans="2:11" ht="7.5" customHeight="1" thickBot="1" x14ac:dyDescent="0.2">
      <c r="B47" s="27"/>
      <c r="C47" s="27"/>
      <c r="D47" s="129"/>
      <c r="E47" s="130"/>
      <c r="F47" s="131"/>
      <c r="G47" s="131"/>
      <c r="H47" s="132"/>
      <c r="I47" s="27"/>
      <c r="J47" s="75"/>
    </row>
    <row r="48" spans="2:11" x14ac:dyDescent="0.15">
      <c r="B48" s="27"/>
      <c r="C48" s="27"/>
      <c r="D48" s="27"/>
      <c r="E48" s="27"/>
      <c r="F48" s="27"/>
      <c r="G48" s="27"/>
      <c r="H48" s="77"/>
      <c r="I48" s="27"/>
    </row>
    <row r="49" spans="2:9" x14ac:dyDescent="0.15">
      <c r="B49" s="27"/>
      <c r="C49" s="27"/>
      <c r="D49" s="27"/>
      <c r="E49" s="27"/>
      <c r="F49" s="27"/>
      <c r="G49" s="27"/>
      <c r="H49" s="101"/>
      <c r="I49" s="27"/>
    </row>
    <row r="50" spans="2:9" x14ac:dyDescent="0.15">
      <c r="B50" s="39"/>
      <c r="C50" s="39"/>
      <c r="D50" s="39"/>
      <c r="E50" s="39"/>
      <c r="F50" s="39"/>
      <c r="G50" s="39"/>
      <c r="I50" s="27"/>
    </row>
    <row r="51" spans="2:9" x14ac:dyDescent="0.15">
      <c r="I51" s="27"/>
    </row>
    <row r="52" spans="2:9" x14ac:dyDescent="0.15">
      <c r="C52" s="133"/>
      <c r="F52" s="134"/>
      <c r="G52" s="134"/>
    </row>
    <row r="53" spans="2:9" x14ac:dyDescent="0.15">
      <c r="C53" s="133"/>
      <c r="D53" s="27"/>
    </row>
    <row r="55" spans="2:9" x14ac:dyDescent="0.15">
      <c r="C55" s="69"/>
      <c r="D55" s="27"/>
    </row>
    <row r="56" spans="2:9" x14ac:dyDescent="0.15">
      <c r="D56" s="27"/>
    </row>
  </sheetData>
  <mergeCells count="3">
    <mergeCell ref="C16:H16"/>
    <mergeCell ref="B15:I15"/>
    <mergeCell ref="D46:H46"/>
  </mergeCells>
  <phoneticPr fontId="5" type="noConversion"/>
  <printOptions horizontalCentered="1"/>
  <pageMargins left="0.25" right="0.25" top="0.75" bottom="0.75" header="0.3" footer="0.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J29"/>
  <sheetViews>
    <sheetView view="pageBreakPreview" topLeftCell="B1" zoomScaleNormal="100" zoomScaleSheetLayoutView="100" workbookViewId="0">
      <selection activeCell="H20" sqref="H20"/>
    </sheetView>
  </sheetViews>
  <sheetFormatPr defaultColWidth="11.4609375" defaultRowHeight="12.75" x14ac:dyDescent="0.15"/>
  <cols>
    <col min="1" max="1" width="5.93359375" style="29" hidden="1" customWidth="1"/>
    <col min="2" max="2" width="9.3046875" style="29" customWidth="1"/>
    <col min="3" max="3" width="10.78515625" style="29" customWidth="1"/>
    <col min="4" max="4" width="40.3203125" style="29" customWidth="1"/>
    <col min="5" max="5" width="6.47265625" style="29" customWidth="1"/>
    <col min="6" max="6" width="14.0234375" style="29" customWidth="1"/>
    <col min="7" max="7" width="12.80859375" style="29" customWidth="1"/>
    <col min="8" max="8" width="14.15625" style="29" customWidth="1"/>
    <col min="9" max="16384" width="11.4609375" style="29"/>
  </cols>
  <sheetData>
    <row r="1" spans="3:10" x14ac:dyDescent="0.15">
      <c r="C1" s="38"/>
      <c r="D1" s="38"/>
      <c r="E1" s="38"/>
      <c r="F1" s="38"/>
      <c r="G1" s="38"/>
      <c r="H1" s="38"/>
    </row>
    <row r="2" spans="3:10" x14ac:dyDescent="0.15">
      <c r="C2" s="38"/>
      <c r="D2" s="38"/>
      <c r="E2" s="38"/>
      <c r="F2" s="38"/>
      <c r="G2" s="38"/>
      <c r="H2" s="38"/>
    </row>
    <row r="3" spans="3:10" x14ac:dyDescent="0.15">
      <c r="C3" s="38"/>
      <c r="D3" s="38"/>
      <c r="E3" s="38"/>
      <c r="F3" s="38"/>
      <c r="G3" s="38"/>
      <c r="H3" s="38"/>
    </row>
    <row r="4" spans="3:10" x14ac:dyDescent="0.15">
      <c r="C4" s="38"/>
      <c r="D4" s="38"/>
      <c r="E4" s="38"/>
      <c r="F4" s="38"/>
      <c r="G4" s="38"/>
      <c r="H4" s="38"/>
    </row>
    <row r="5" spans="3:10" x14ac:dyDescent="0.15">
      <c r="C5" s="38"/>
      <c r="D5" s="38"/>
      <c r="E5" s="38"/>
      <c r="F5" s="38"/>
      <c r="G5" s="38"/>
      <c r="H5" s="38"/>
    </row>
    <row r="6" spans="3:10" x14ac:dyDescent="0.15">
      <c r="C6" s="38"/>
      <c r="D6" s="38"/>
      <c r="E6" s="38"/>
      <c r="F6" s="38"/>
      <c r="G6" s="38"/>
      <c r="H6" s="38"/>
    </row>
    <row r="7" spans="3:10" x14ac:dyDescent="0.15">
      <c r="C7" s="38"/>
      <c r="D7" s="38"/>
      <c r="E7" s="38"/>
      <c r="F7" s="38"/>
      <c r="G7" s="38"/>
      <c r="H7" s="38"/>
    </row>
    <row r="8" spans="3:10" x14ac:dyDescent="0.15">
      <c r="C8" s="156" t="s">
        <v>76</v>
      </c>
      <c r="D8" s="157"/>
      <c r="E8" s="158" t="s">
        <v>0</v>
      </c>
      <c r="F8" s="159">
        <f>+RESÚMEN!H29</f>
        <v>1057852.82</v>
      </c>
      <c r="G8" s="39"/>
      <c r="H8" s="41"/>
    </row>
    <row r="9" spans="3:10" x14ac:dyDescent="0.15">
      <c r="C9" s="39"/>
      <c r="D9" s="39"/>
      <c r="E9" s="39"/>
      <c r="F9" s="39"/>
      <c r="G9" s="39"/>
      <c r="H9" s="39"/>
    </row>
    <row r="10" spans="3:10" ht="15" x14ac:dyDescent="0.15">
      <c r="C10" s="213" t="s">
        <v>41</v>
      </c>
      <c r="D10" s="213"/>
      <c r="E10" s="213"/>
      <c r="F10" s="213"/>
      <c r="G10" s="213"/>
      <c r="H10" s="213"/>
    </row>
    <row r="11" spans="3:10" hidden="1" x14ac:dyDescent="0.15">
      <c r="C11" s="39"/>
      <c r="D11" s="39"/>
      <c r="E11" s="39"/>
      <c r="F11" s="39"/>
      <c r="G11" s="39"/>
      <c r="H11" s="39"/>
    </row>
    <row r="12" spans="3:10" x14ac:dyDescent="0.15">
      <c r="C12" s="42"/>
      <c r="D12" s="42"/>
      <c r="E12" s="42"/>
      <c r="F12" s="42"/>
      <c r="G12" s="42"/>
      <c r="H12" s="42"/>
    </row>
    <row r="13" spans="3:10" x14ac:dyDescent="0.15">
      <c r="C13" s="43" t="s">
        <v>2</v>
      </c>
      <c r="D13" s="43" t="s">
        <v>3</v>
      </c>
      <c r="E13" s="43" t="s">
        <v>14</v>
      </c>
      <c r="F13" s="44" t="s">
        <v>4</v>
      </c>
      <c r="G13" s="44" t="s">
        <v>17</v>
      </c>
      <c r="H13" s="44" t="s">
        <v>18</v>
      </c>
    </row>
    <row r="14" spans="3:10" x14ac:dyDescent="0.15">
      <c r="C14" s="45" t="s">
        <v>19</v>
      </c>
      <c r="D14" s="214" t="s">
        <v>13</v>
      </c>
      <c r="E14" s="214"/>
      <c r="F14" s="214"/>
      <c r="G14" s="214"/>
      <c r="H14" s="215"/>
    </row>
    <row r="15" spans="3:10" x14ac:dyDescent="0.15">
      <c r="C15" s="46">
        <v>1</v>
      </c>
      <c r="D15" s="47" t="s">
        <v>29</v>
      </c>
      <c r="E15" s="48" t="s">
        <v>6</v>
      </c>
      <c r="F15" s="49">
        <v>1</v>
      </c>
      <c r="G15" s="50">
        <f>+FIJOS!I43</f>
        <v>8850</v>
      </c>
      <c r="H15" s="51">
        <f>+G15*F15</f>
        <v>8850</v>
      </c>
      <c r="J15" s="29">
        <f>9275/1287762</f>
        <v>7.2024178380787757E-3</v>
      </c>
    </row>
    <row r="16" spans="3:10" x14ac:dyDescent="0.15">
      <c r="C16" s="46"/>
      <c r="D16" s="47"/>
      <c r="E16" s="48"/>
      <c r="F16" s="52"/>
      <c r="G16" s="52"/>
      <c r="H16" s="51"/>
    </row>
    <row r="17" spans="3:9" x14ac:dyDescent="0.15">
      <c r="C17" s="46" t="s">
        <v>20</v>
      </c>
      <c r="D17" s="216" t="s">
        <v>24</v>
      </c>
      <c r="E17" s="216"/>
      <c r="F17" s="216"/>
      <c r="G17" s="216"/>
      <c r="H17" s="217"/>
    </row>
    <row r="18" spans="3:9" x14ac:dyDescent="0.15">
      <c r="C18" s="46">
        <v>1</v>
      </c>
      <c r="D18" s="47" t="s">
        <v>30</v>
      </c>
      <c r="E18" s="48" t="s">
        <v>6</v>
      </c>
      <c r="F18" s="49">
        <v>1</v>
      </c>
      <c r="G18" s="50">
        <f>+VARIABLES!H36</f>
        <v>119316.71874914</v>
      </c>
      <c r="H18" s="51">
        <f>+G18*F18</f>
        <v>119316.71874914</v>
      </c>
    </row>
    <row r="19" spans="3:9" x14ac:dyDescent="0.15">
      <c r="C19" s="53"/>
      <c r="D19" s="218"/>
      <c r="E19" s="218"/>
      <c r="F19" s="218"/>
      <c r="G19" s="218"/>
      <c r="H19" s="219"/>
    </row>
    <row r="20" spans="3:9" x14ac:dyDescent="0.15">
      <c r="C20" s="209" t="s">
        <v>31</v>
      </c>
      <c r="D20" s="210"/>
      <c r="E20" s="210"/>
      <c r="F20" s="210"/>
      <c r="G20" s="211"/>
      <c r="H20" s="54">
        <f>H15+H18</f>
        <v>128166.71874914</v>
      </c>
    </row>
    <row r="21" spans="3:9" x14ac:dyDescent="0.15">
      <c r="C21" s="55"/>
      <c r="D21" s="55"/>
      <c r="E21" s="55"/>
      <c r="F21" s="55"/>
      <c r="G21" s="55"/>
      <c r="H21" s="55"/>
    </row>
    <row r="22" spans="3:9" ht="15" x14ac:dyDescent="0.15">
      <c r="C22" s="39"/>
      <c r="D22" s="212" t="s">
        <v>32</v>
      </c>
      <c r="E22" s="212"/>
      <c r="F22" s="212"/>
      <c r="G22" s="160">
        <f>+F25</f>
        <v>0.12115742</v>
      </c>
      <c r="H22" s="56"/>
      <c r="I22" s="161">
        <f>+G22</f>
        <v>0.12115742</v>
      </c>
    </row>
    <row r="23" spans="3:9" x14ac:dyDescent="0.15">
      <c r="C23" s="39"/>
      <c r="D23" s="57" t="s">
        <v>33</v>
      </c>
      <c r="E23" s="58" t="s">
        <v>0</v>
      </c>
      <c r="F23" s="59">
        <f>+F8</f>
        <v>1057852.82</v>
      </c>
      <c r="G23" s="60"/>
      <c r="H23" s="39"/>
      <c r="I23" s="29">
        <f>+I22*100</f>
        <v>12.115742000000001</v>
      </c>
    </row>
    <row r="24" spans="3:9" x14ac:dyDescent="0.15">
      <c r="C24" s="39"/>
      <c r="D24" s="61" t="s">
        <v>34</v>
      </c>
      <c r="E24" s="62" t="s">
        <v>0</v>
      </c>
      <c r="F24" s="63">
        <f>H20</f>
        <v>128166.71874914</v>
      </c>
      <c r="G24" s="64"/>
      <c r="H24" s="39"/>
    </row>
    <row r="25" spans="3:9" x14ac:dyDescent="0.15">
      <c r="C25" s="39"/>
      <c r="D25" s="65" t="s">
        <v>35</v>
      </c>
      <c r="E25" s="66" t="s">
        <v>36</v>
      </c>
      <c r="F25" s="67">
        <f>ROUND((F24/F23),8)</f>
        <v>0.12115742</v>
      </c>
      <c r="G25" s="68"/>
      <c r="H25" s="39"/>
    </row>
    <row r="26" spans="3:9" x14ac:dyDescent="0.15">
      <c r="C26" s="39"/>
      <c r="D26" s="39"/>
      <c r="E26" s="39"/>
      <c r="F26" s="39"/>
      <c r="G26" s="40"/>
      <c r="H26" s="39"/>
    </row>
    <row r="29" spans="3:9" x14ac:dyDescent="0.15">
      <c r="C29" s="69"/>
      <c r="D29" s="69"/>
    </row>
  </sheetData>
  <mergeCells count="6">
    <mergeCell ref="C20:G20"/>
    <mergeCell ref="D22:F22"/>
    <mergeCell ref="C10:H10"/>
    <mergeCell ref="D14:H14"/>
    <mergeCell ref="D17:H17"/>
    <mergeCell ref="D19:H19"/>
  </mergeCells>
  <phoneticPr fontId="5" type="noConversion"/>
  <printOptions horizontalCentered="1" verticalCentered="1"/>
  <pageMargins left="0.6692913385826772" right="0.19685039370078741" top="0.82677165354330717" bottom="0.98425196850393704" header="0" footer="0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B1:J43"/>
  <sheetViews>
    <sheetView showGridLines="0" view="pageBreakPreview" topLeftCell="B1" zoomScaleNormal="85" zoomScaleSheetLayoutView="100" workbookViewId="0">
      <selection activeCell="F16" sqref="F16"/>
    </sheetView>
  </sheetViews>
  <sheetFormatPr defaultColWidth="11.4609375" defaultRowHeight="12.75" x14ac:dyDescent="0.15"/>
  <cols>
    <col min="1" max="1" width="11.4609375" style="29"/>
    <col min="2" max="2" width="3.1015625" style="29" customWidth="1"/>
    <col min="3" max="3" width="5.93359375" style="37" customWidth="1"/>
    <col min="4" max="4" width="57.58203125" style="29" customWidth="1"/>
    <col min="5" max="5" width="9.16796875" style="29" customWidth="1"/>
    <col min="6" max="6" width="12" style="29" customWidth="1"/>
    <col min="7" max="7" width="10.65234375" style="29" customWidth="1"/>
    <col min="8" max="8" width="14.5625" style="29" customWidth="1"/>
    <col min="9" max="9" width="14.15625" style="29" customWidth="1"/>
    <col min="10" max="10" width="1.6171875" style="29" customWidth="1"/>
    <col min="11" max="16384" width="11.4609375" style="29"/>
  </cols>
  <sheetData>
    <row r="1" spans="2:10" x14ac:dyDescent="0.15">
      <c r="B1" s="27"/>
      <c r="C1" s="28"/>
      <c r="D1" s="27"/>
      <c r="E1" s="27"/>
      <c r="F1" s="27"/>
      <c r="G1" s="27"/>
      <c r="H1" s="27"/>
      <c r="I1" s="27"/>
      <c r="J1" s="27"/>
    </row>
    <row r="2" spans="2:10" x14ac:dyDescent="0.15">
      <c r="B2" s="27"/>
      <c r="C2" s="28"/>
      <c r="D2" s="27"/>
      <c r="E2" s="27"/>
      <c r="F2" s="27"/>
      <c r="G2" s="27"/>
      <c r="H2" s="27"/>
      <c r="I2" s="27"/>
      <c r="J2" s="27"/>
    </row>
    <row r="3" spans="2:10" x14ac:dyDescent="0.15">
      <c r="B3" s="27"/>
      <c r="C3" s="28"/>
      <c r="D3" s="27"/>
      <c r="E3" s="27"/>
      <c r="F3" s="27"/>
      <c r="G3" s="27"/>
      <c r="H3" s="27"/>
      <c r="I3" s="27"/>
      <c r="J3" s="27"/>
    </row>
    <row r="4" spans="2:10" x14ac:dyDescent="0.15">
      <c r="B4" s="27"/>
      <c r="C4" s="28"/>
      <c r="D4" s="27"/>
      <c r="E4" s="27"/>
      <c r="F4" s="27"/>
      <c r="G4" s="27"/>
      <c r="H4" s="27"/>
      <c r="I4" s="27"/>
      <c r="J4" s="27"/>
    </row>
    <row r="5" spans="2:10" ht="15.75" customHeight="1" x14ac:dyDescent="0.15">
      <c r="B5" s="27"/>
      <c r="C5" s="28"/>
      <c r="D5" s="27"/>
      <c r="E5" s="27"/>
      <c r="F5" s="27"/>
      <c r="G5" s="27"/>
      <c r="H5" s="27"/>
      <c r="I5" s="27"/>
      <c r="J5" s="27"/>
    </row>
    <row r="6" spans="2:10" s="30" customFormat="1" x14ac:dyDescent="0.15">
      <c r="B6" s="27"/>
      <c r="C6" s="28"/>
      <c r="D6" s="27"/>
      <c r="E6" s="27"/>
      <c r="F6" s="27"/>
      <c r="G6" s="27"/>
      <c r="H6" s="27"/>
      <c r="I6" s="27"/>
      <c r="J6" s="27"/>
    </row>
    <row r="7" spans="2:10" s="30" customFormat="1" x14ac:dyDescent="0.15">
      <c r="B7" s="27"/>
      <c r="C7" s="28"/>
      <c r="D7" s="27"/>
      <c r="E7" s="27"/>
      <c r="F7" s="27"/>
      <c r="G7" s="27"/>
      <c r="H7" s="27"/>
      <c r="I7" s="27"/>
      <c r="J7" s="27"/>
    </row>
    <row r="8" spans="2:10" ht="15" x14ac:dyDescent="0.15">
      <c r="B8" s="27"/>
      <c r="C8" s="229" t="s">
        <v>42</v>
      </c>
      <c r="D8" s="229"/>
      <c r="E8" s="229"/>
      <c r="F8" s="229"/>
      <c r="G8" s="229"/>
      <c r="H8" s="229"/>
      <c r="I8" s="229"/>
      <c r="J8" s="20"/>
    </row>
    <row r="9" spans="2:10" ht="15" x14ac:dyDescent="0.15">
      <c r="B9" s="27"/>
      <c r="C9" s="229" t="s">
        <v>43</v>
      </c>
      <c r="D9" s="229"/>
      <c r="E9" s="229"/>
      <c r="F9" s="229"/>
      <c r="G9" s="229"/>
      <c r="H9" s="229"/>
      <c r="I9" s="229"/>
      <c r="J9" s="20"/>
    </row>
    <row r="10" spans="2:10" ht="15" customHeight="1" x14ac:dyDescent="0.15">
      <c r="B10" s="27"/>
      <c r="C10" s="140"/>
      <c r="D10" s="141"/>
      <c r="E10" s="141"/>
      <c r="F10" s="141"/>
      <c r="G10" s="141"/>
      <c r="H10" s="141"/>
      <c r="I10" s="141"/>
      <c r="J10" s="27"/>
    </row>
    <row r="11" spans="2:10" ht="32.25" customHeight="1" x14ac:dyDescent="0.15">
      <c r="B11" s="27"/>
      <c r="C11" s="149" t="s">
        <v>2</v>
      </c>
      <c r="D11" s="149" t="s">
        <v>3</v>
      </c>
      <c r="E11" s="149" t="s">
        <v>14</v>
      </c>
      <c r="F11" s="150" t="s">
        <v>15</v>
      </c>
      <c r="G11" s="150" t="s">
        <v>23</v>
      </c>
      <c r="H11" s="150" t="s">
        <v>17</v>
      </c>
      <c r="I11" s="150" t="s">
        <v>18</v>
      </c>
      <c r="J11" s="27"/>
    </row>
    <row r="12" spans="2:10" ht="18" customHeight="1" x14ac:dyDescent="0.15">
      <c r="B12" s="27"/>
      <c r="C12" s="9" t="s">
        <v>19</v>
      </c>
      <c r="D12" s="224" t="s">
        <v>62</v>
      </c>
      <c r="E12" s="224"/>
      <c r="F12" s="224"/>
      <c r="G12" s="224"/>
      <c r="H12" s="224"/>
      <c r="I12" s="225"/>
      <c r="J12" s="27"/>
    </row>
    <row r="13" spans="2:10" ht="18" customHeight="1" x14ac:dyDescent="0.15">
      <c r="B13" s="27"/>
      <c r="C13" s="12">
        <v>1</v>
      </c>
      <c r="D13" s="31" t="s">
        <v>59</v>
      </c>
      <c r="E13" s="12" t="s">
        <v>7</v>
      </c>
      <c r="F13" s="13">
        <v>3</v>
      </c>
      <c r="G13" s="13">
        <v>1</v>
      </c>
      <c r="H13" s="135">
        <v>450</v>
      </c>
      <c r="I13" s="14">
        <f>+H13*F13</f>
        <v>1350</v>
      </c>
      <c r="J13" s="27"/>
    </row>
    <row r="14" spans="2:10" ht="18" customHeight="1" x14ac:dyDescent="0.15">
      <c r="B14" s="27"/>
      <c r="C14" s="12">
        <v>2</v>
      </c>
      <c r="D14" s="31" t="s">
        <v>60</v>
      </c>
      <c r="E14" s="12" t="s">
        <v>7</v>
      </c>
      <c r="F14" s="13">
        <v>30</v>
      </c>
      <c r="G14" s="13">
        <v>1</v>
      </c>
      <c r="H14" s="135">
        <v>150</v>
      </c>
      <c r="I14" s="14">
        <f>+F14*H14</f>
        <v>4500</v>
      </c>
      <c r="J14" s="27"/>
    </row>
    <row r="15" spans="2:10" ht="18" customHeight="1" x14ac:dyDescent="0.15">
      <c r="B15" s="27"/>
      <c r="C15" s="12">
        <v>3</v>
      </c>
      <c r="D15" s="31" t="s">
        <v>61</v>
      </c>
      <c r="E15" s="12" t="s">
        <v>7</v>
      </c>
      <c r="F15" s="13">
        <v>16</v>
      </c>
      <c r="G15" s="13">
        <v>1</v>
      </c>
      <c r="H15" s="135">
        <v>150</v>
      </c>
      <c r="I15" s="14">
        <f>+F15*H15</f>
        <v>2400</v>
      </c>
      <c r="J15" s="27"/>
    </row>
    <row r="16" spans="2:10" ht="18" customHeight="1" x14ac:dyDescent="0.15">
      <c r="B16" s="27"/>
      <c r="C16" s="9" t="s">
        <v>21</v>
      </c>
      <c r="D16" s="32" t="s">
        <v>64</v>
      </c>
      <c r="E16" s="12" t="s">
        <v>1</v>
      </c>
      <c r="F16" s="13">
        <v>1</v>
      </c>
      <c r="G16" s="13">
        <v>1</v>
      </c>
      <c r="H16" s="14">
        <v>600</v>
      </c>
      <c r="I16" s="14">
        <f>F16*G16*H16</f>
        <v>600</v>
      </c>
      <c r="J16" s="27"/>
    </row>
    <row r="17" spans="2:10" ht="15" customHeight="1" x14ac:dyDescent="0.15">
      <c r="B17" s="27"/>
      <c r="C17" s="140"/>
      <c r="D17" s="141"/>
      <c r="E17" s="140"/>
      <c r="F17" s="143"/>
      <c r="G17" s="144"/>
      <c r="H17" s="145"/>
      <c r="I17" s="145"/>
      <c r="J17" s="27"/>
    </row>
    <row r="18" spans="2:10" ht="15" customHeight="1" x14ac:dyDescent="0.15">
      <c r="B18" s="27"/>
      <c r="C18" s="29"/>
      <c r="D18" s="146"/>
      <c r="E18" s="142" t="s">
        <v>22</v>
      </c>
      <c r="F18" s="147"/>
      <c r="G18" s="147"/>
      <c r="H18" s="147"/>
      <c r="I18" s="148">
        <f>SUM(I13:I16)</f>
        <v>8850</v>
      </c>
      <c r="J18" s="27"/>
    </row>
    <row r="19" spans="2:10" ht="4.5" customHeight="1" x14ac:dyDescent="0.15">
      <c r="B19" s="27"/>
      <c r="C19" s="28"/>
      <c r="D19" s="27"/>
      <c r="E19" s="27"/>
      <c r="F19" s="27"/>
      <c r="G19" s="27"/>
      <c r="H19" s="27"/>
      <c r="I19" s="27"/>
      <c r="J19" s="27"/>
    </row>
    <row r="20" spans="2:10" ht="3.75" customHeight="1" thickBot="1" x14ac:dyDescent="0.2">
      <c r="B20" s="33"/>
      <c r="C20" s="34"/>
      <c r="D20" s="35"/>
      <c r="E20" s="35"/>
      <c r="F20" s="35"/>
      <c r="G20" s="35"/>
      <c r="H20" s="35"/>
      <c r="I20" s="35"/>
      <c r="J20" s="36"/>
    </row>
    <row r="21" spans="2:10" ht="15" customHeight="1" thickTop="1" x14ac:dyDescent="0.15"/>
    <row r="22" spans="2:10" ht="15" customHeight="1" x14ac:dyDescent="0.15"/>
    <row r="23" spans="2:10" ht="15" hidden="1" customHeight="1" x14ac:dyDescent="0.15"/>
    <row r="24" spans="2:10" ht="15" hidden="1" customHeight="1" x14ac:dyDescent="0.15"/>
    <row r="25" spans="2:10" ht="15" hidden="1" customHeight="1" x14ac:dyDescent="0.15"/>
    <row r="26" spans="2:10" ht="15" hidden="1" customHeight="1" x14ac:dyDescent="0.15"/>
    <row r="27" spans="2:10" ht="15" hidden="1" customHeight="1" x14ac:dyDescent="0.15"/>
    <row r="28" spans="2:10" ht="15" hidden="1" customHeight="1" x14ac:dyDescent="0.15"/>
    <row r="29" spans="2:10" ht="15" hidden="1" customHeight="1" x14ac:dyDescent="0.15"/>
    <row r="30" spans="2:10" ht="32.25" hidden="1" customHeight="1" x14ac:dyDescent="0.15">
      <c r="B30" s="27"/>
      <c r="C30" s="149" t="s">
        <v>2</v>
      </c>
      <c r="D30" s="149" t="s">
        <v>3</v>
      </c>
      <c r="E30" s="149" t="s">
        <v>14</v>
      </c>
      <c r="F30" s="150" t="s">
        <v>15</v>
      </c>
      <c r="G30" s="150" t="s">
        <v>23</v>
      </c>
      <c r="H30" s="150" t="s">
        <v>17</v>
      </c>
      <c r="I30" s="150" t="s">
        <v>18</v>
      </c>
      <c r="J30" s="27"/>
    </row>
    <row r="31" spans="2:10" ht="15" hidden="1" customHeight="1" x14ac:dyDescent="0.15">
      <c r="C31" s="9" t="s">
        <v>77</v>
      </c>
      <c r="D31" s="230" t="s">
        <v>103</v>
      </c>
      <c r="E31" s="231"/>
      <c r="F31" s="231"/>
      <c r="G31" s="231"/>
      <c r="H31" s="231"/>
      <c r="I31" s="232"/>
      <c r="J31" s="174"/>
    </row>
    <row r="32" spans="2:10" ht="15" hidden="1" customHeight="1" x14ac:dyDescent="0.15">
      <c r="C32" s="12">
        <v>1</v>
      </c>
      <c r="D32" s="220" t="s">
        <v>92</v>
      </c>
      <c r="E32" s="221"/>
      <c r="F32" s="221"/>
      <c r="G32" s="221"/>
      <c r="H32" s="221"/>
      <c r="I32" s="222"/>
      <c r="J32" s="175"/>
    </row>
    <row r="33" spans="3:10" ht="15" hidden="1" customHeight="1" x14ac:dyDescent="0.15">
      <c r="C33" s="12"/>
      <c r="D33" s="185" t="s">
        <v>93</v>
      </c>
      <c r="E33" s="12" t="s">
        <v>7</v>
      </c>
      <c r="F33" s="13">
        <v>1</v>
      </c>
      <c r="G33" s="13">
        <v>1</v>
      </c>
      <c r="H33" s="14">
        <v>500</v>
      </c>
      <c r="I33" s="187">
        <f>+PRODUCT(F33:H33)</f>
        <v>500</v>
      </c>
      <c r="J33" s="176"/>
    </row>
    <row r="34" spans="3:10" ht="14.25" hidden="1" x14ac:dyDescent="0.15">
      <c r="C34" s="12">
        <v>2</v>
      </c>
      <c r="D34" s="223" t="s">
        <v>94</v>
      </c>
      <c r="E34" s="224"/>
      <c r="F34" s="224"/>
      <c r="G34" s="224"/>
      <c r="H34" s="224"/>
      <c r="I34" s="225"/>
      <c r="J34" s="177"/>
    </row>
    <row r="35" spans="3:10" ht="14.25" hidden="1" x14ac:dyDescent="0.15">
      <c r="C35" s="12"/>
      <c r="D35" s="188" t="s">
        <v>95</v>
      </c>
      <c r="E35" s="12" t="s">
        <v>7</v>
      </c>
      <c r="F35" s="187">
        <v>1</v>
      </c>
      <c r="G35" s="187">
        <v>0.5</v>
      </c>
      <c r="H35" s="187">
        <v>1200</v>
      </c>
      <c r="I35" s="187">
        <f>+PRODUCT(F35:H35)</f>
        <v>600</v>
      </c>
      <c r="J35" s="176"/>
    </row>
    <row r="36" spans="3:10" ht="14.25" hidden="1" x14ac:dyDescent="0.15">
      <c r="C36" s="12">
        <v>3</v>
      </c>
      <c r="D36" s="223" t="s">
        <v>96</v>
      </c>
      <c r="E36" s="224"/>
      <c r="F36" s="224"/>
      <c r="G36" s="224"/>
      <c r="H36" s="225"/>
      <c r="I36" s="19">
        <f>+I42</f>
        <v>7849.267924400001</v>
      </c>
      <c r="J36" s="180"/>
    </row>
    <row r="37" spans="3:10" ht="14.25" hidden="1" x14ac:dyDescent="0.15">
      <c r="C37" s="12"/>
      <c r="D37" s="185"/>
      <c r="E37" s="184" t="s">
        <v>97</v>
      </c>
      <c r="F37" s="184"/>
      <c r="G37" s="184">
        <f>+RESÚMEN!H29</f>
        <v>1057852.82</v>
      </c>
      <c r="H37" s="184" t="s">
        <v>91</v>
      </c>
      <c r="I37" s="186"/>
      <c r="J37" s="179"/>
    </row>
    <row r="38" spans="3:10" ht="14.25" hidden="1" x14ac:dyDescent="0.15">
      <c r="C38" s="12"/>
      <c r="D38" s="185" t="s">
        <v>98</v>
      </c>
      <c r="E38" s="189">
        <f>G37*0.1</f>
        <v>105785.28200000001</v>
      </c>
      <c r="F38" s="190">
        <f>0.33/100</f>
        <v>3.3E-3</v>
      </c>
      <c r="G38" s="191"/>
      <c r="H38" s="189">
        <f>+F38*E38*2</f>
        <v>698.18286120000005</v>
      </c>
      <c r="I38" s="186"/>
      <c r="J38" s="179"/>
    </row>
    <row r="39" spans="3:10" ht="14.25" hidden="1" x14ac:dyDescent="0.15">
      <c r="C39" s="12"/>
      <c r="D39" s="185" t="s">
        <v>99</v>
      </c>
      <c r="E39" s="189">
        <f>G37*0.2</f>
        <v>211570.56400000001</v>
      </c>
      <c r="F39" s="190">
        <f t="shared" ref="F39:F40" si="0">0.33/100</f>
        <v>3.3E-3</v>
      </c>
      <c r="G39" s="191"/>
      <c r="H39" s="189">
        <f>+F39*E39*2</f>
        <v>1396.3657224000001</v>
      </c>
      <c r="I39" s="192"/>
      <c r="J39" s="178"/>
    </row>
    <row r="40" spans="3:10" ht="14.25" hidden="1" x14ac:dyDescent="0.15">
      <c r="C40" s="12"/>
      <c r="D40" s="185" t="s">
        <v>100</v>
      </c>
      <c r="E40" s="189">
        <f>G37*0.4</f>
        <v>423141.12800000003</v>
      </c>
      <c r="F40" s="190">
        <f t="shared" si="0"/>
        <v>3.3E-3</v>
      </c>
      <c r="G40" s="191"/>
      <c r="H40" s="189">
        <f>+F40*E40*2</f>
        <v>2792.7314448000002</v>
      </c>
      <c r="I40" s="189"/>
      <c r="J40" s="178"/>
    </row>
    <row r="41" spans="3:10" ht="14.25" hidden="1" x14ac:dyDescent="0.15">
      <c r="C41" s="12"/>
      <c r="D41" s="185" t="s">
        <v>101</v>
      </c>
      <c r="E41" s="193">
        <f>G37</f>
        <v>1057852.82</v>
      </c>
      <c r="F41" s="190">
        <f>0.2/100</f>
        <v>2E-3</v>
      </c>
      <c r="G41" s="191"/>
      <c r="H41" s="189">
        <f>+F41*E41</f>
        <v>2115.7056400000001</v>
      </c>
      <c r="I41" s="189"/>
      <c r="J41" s="178"/>
    </row>
    <row r="42" spans="3:10" ht="14.25" hidden="1" x14ac:dyDescent="0.15">
      <c r="C42" s="12"/>
      <c r="D42" s="185" t="s">
        <v>102</v>
      </c>
      <c r="E42" s="193">
        <f>G37</f>
        <v>1057852.82</v>
      </c>
      <c r="F42" s="14">
        <v>0.08</v>
      </c>
      <c r="G42" s="14"/>
      <c r="H42" s="189">
        <f>+E42*F42/100</f>
        <v>846.28225600000007</v>
      </c>
      <c r="I42" s="189">
        <f>SUM(H38:H42)</f>
        <v>7849.267924400001</v>
      </c>
      <c r="J42" s="181"/>
    </row>
    <row r="43" spans="3:10" ht="14.25" hidden="1" x14ac:dyDescent="0.15">
      <c r="C43" s="226" t="s">
        <v>104</v>
      </c>
      <c r="D43" s="227"/>
      <c r="E43" s="227"/>
      <c r="F43" s="227"/>
      <c r="G43" s="227"/>
      <c r="H43" s="228"/>
      <c r="I43" s="182">
        <f>(I33+I35+I36)*0+I18</f>
        <v>8850</v>
      </c>
      <c r="J43" s="183"/>
    </row>
  </sheetData>
  <mergeCells count="8">
    <mergeCell ref="D32:I32"/>
    <mergeCell ref="D34:I34"/>
    <mergeCell ref="D36:H36"/>
    <mergeCell ref="C43:H43"/>
    <mergeCell ref="C8:I8"/>
    <mergeCell ref="C9:I9"/>
    <mergeCell ref="D12:I12"/>
    <mergeCell ref="D31:I31"/>
  </mergeCells>
  <phoneticPr fontId="0" type="noConversion"/>
  <printOptions horizontalCentered="1" verticalCentered="1"/>
  <pageMargins left="0.51181102362204722" right="0.70866141732283472" top="0.47244094488188981" bottom="0.70866141732283472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H38"/>
  <sheetViews>
    <sheetView showGridLines="0" view="pageBreakPreview" zoomScaleNormal="100" zoomScaleSheetLayoutView="100" workbookViewId="0">
      <selection activeCell="J4" sqref="J4"/>
    </sheetView>
  </sheetViews>
  <sheetFormatPr defaultColWidth="11.4609375" defaultRowHeight="14.25" x14ac:dyDescent="0.15"/>
  <cols>
    <col min="1" max="1" width="2.55859375" style="8" customWidth="1"/>
    <col min="2" max="2" width="4.04296875" style="8" bestFit="1" customWidth="1"/>
    <col min="3" max="3" width="44.76953125" style="8" bestFit="1" customWidth="1"/>
    <col min="4" max="4" width="4.44921875" style="8" bestFit="1" customWidth="1"/>
    <col min="5" max="5" width="10.11328125" style="8" bestFit="1" customWidth="1"/>
    <col min="6" max="6" width="7.28125" style="8" bestFit="1" customWidth="1"/>
    <col min="7" max="7" width="11.32421875" style="8" customWidth="1"/>
    <col min="8" max="8" width="11.73046875" style="8" bestFit="1" customWidth="1"/>
    <col min="9" max="16384" width="11.4609375" style="8"/>
  </cols>
  <sheetData>
    <row r="1" spans="1:8" s="1" customFormat="1" ht="32.25" customHeight="1" x14ac:dyDescent="0.15">
      <c r="A1" s="2"/>
      <c r="B1" s="234"/>
      <c r="C1" s="234"/>
      <c r="D1" s="234"/>
      <c r="E1" s="234"/>
      <c r="F1" s="234"/>
      <c r="G1" s="234"/>
      <c r="H1" s="234"/>
    </row>
    <row r="2" spans="1:8" s="1" customFormat="1" ht="35.25" customHeight="1" x14ac:dyDescent="0.15">
      <c r="A2" s="2"/>
      <c r="B2" s="6"/>
      <c r="C2" s="6"/>
      <c r="D2" s="7"/>
      <c r="E2" s="7"/>
      <c r="F2" s="7"/>
      <c r="G2" s="7"/>
      <c r="H2" s="7"/>
    </row>
    <row r="3" spans="1:8" s="1" customFormat="1" ht="35.25" customHeight="1" x14ac:dyDescent="0.15">
      <c r="A3" s="2"/>
      <c r="B3" s="6"/>
      <c r="C3" s="6"/>
      <c r="D3" s="7"/>
      <c r="E3" s="7"/>
      <c r="F3" s="7"/>
      <c r="G3" s="7"/>
      <c r="H3" s="7"/>
    </row>
    <row r="4" spans="1:8" s="1" customFormat="1" ht="21" customHeight="1" x14ac:dyDescent="0.15">
      <c r="A4" s="2"/>
      <c r="B4" s="6"/>
      <c r="C4" s="6"/>
      <c r="D4" s="7"/>
      <c r="E4" s="7"/>
      <c r="F4" s="7"/>
      <c r="G4" s="7"/>
      <c r="H4" s="7"/>
    </row>
    <row r="5" spans="1:8" ht="18" customHeight="1" x14ac:dyDescent="0.15">
      <c r="A5" s="2"/>
      <c r="B5" s="233" t="s">
        <v>42</v>
      </c>
      <c r="C5" s="233"/>
      <c r="D5" s="233"/>
      <c r="E5" s="233"/>
      <c r="F5" s="233"/>
      <c r="G5" s="233"/>
      <c r="H5" s="233"/>
    </row>
    <row r="6" spans="1:8" ht="27.75" customHeight="1" x14ac:dyDescent="0.15">
      <c r="A6" s="2"/>
      <c r="B6" s="233" t="s">
        <v>44</v>
      </c>
      <c r="C6" s="233"/>
      <c r="D6" s="233"/>
      <c r="E6" s="233"/>
      <c r="F6" s="233"/>
      <c r="G6" s="233"/>
      <c r="H6" s="233"/>
    </row>
    <row r="7" spans="1:8" ht="10.5" customHeight="1" x14ac:dyDescent="0.15">
      <c r="A7" s="2"/>
      <c r="B7" s="21"/>
      <c r="C7" s="21"/>
      <c r="D7" s="21"/>
      <c r="E7" s="21"/>
      <c r="F7" s="21"/>
      <c r="G7" s="21"/>
      <c r="H7" s="21"/>
    </row>
    <row r="8" spans="1:8" ht="37.5" customHeight="1" x14ac:dyDescent="0.15">
      <c r="A8" s="2"/>
      <c r="B8" s="149" t="s">
        <v>2</v>
      </c>
      <c r="C8" s="149" t="s">
        <v>3</v>
      </c>
      <c r="D8" s="149" t="s">
        <v>14</v>
      </c>
      <c r="E8" s="150" t="s">
        <v>15</v>
      </c>
      <c r="F8" s="150" t="s">
        <v>16</v>
      </c>
      <c r="G8" s="150" t="s">
        <v>17</v>
      </c>
      <c r="H8" s="150" t="s">
        <v>18</v>
      </c>
    </row>
    <row r="9" spans="1:8" ht="18" customHeight="1" x14ac:dyDescent="0.15">
      <c r="A9" s="2"/>
      <c r="B9" s="10" t="s">
        <v>19</v>
      </c>
      <c r="C9" s="10" t="s">
        <v>65</v>
      </c>
      <c r="D9" s="11"/>
      <c r="E9" s="11"/>
      <c r="F9" s="11"/>
      <c r="G9" s="11"/>
      <c r="H9" s="11"/>
    </row>
    <row r="10" spans="1:8" ht="18" customHeight="1" x14ac:dyDescent="0.15">
      <c r="A10" s="2"/>
      <c r="B10" s="10">
        <v>1</v>
      </c>
      <c r="C10" s="15" t="s">
        <v>38</v>
      </c>
      <c r="D10" s="12" t="s">
        <v>5</v>
      </c>
      <c r="E10" s="13">
        <v>1</v>
      </c>
      <c r="F10" s="13">
        <v>3</v>
      </c>
      <c r="G10" s="154">
        <v>9000</v>
      </c>
      <c r="H10" s="151">
        <f>E10*F10*G10</f>
        <v>27000</v>
      </c>
    </row>
    <row r="11" spans="1:8" ht="18" customHeight="1" x14ac:dyDescent="0.15">
      <c r="A11" s="2"/>
      <c r="B11" s="10">
        <v>2</v>
      </c>
      <c r="C11" s="15" t="s">
        <v>116</v>
      </c>
      <c r="D11" s="12" t="s">
        <v>5</v>
      </c>
      <c r="E11" s="13">
        <v>1</v>
      </c>
      <c r="F11" s="13">
        <v>3</v>
      </c>
      <c r="G11" s="152">
        <v>6000</v>
      </c>
      <c r="H11" s="151">
        <f>E11*F11*G11</f>
        <v>18000</v>
      </c>
    </row>
    <row r="12" spans="1:8" ht="18" customHeight="1" x14ac:dyDescent="0.15">
      <c r="A12" s="2"/>
      <c r="B12" s="10">
        <v>3</v>
      </c>
      <c r="C12" s="15" t="s">
        <v>129</v>
      </c>
      <c r="D12" s="12" t="s">
        <v>5</v>
      </c>
      <c r="E12" s="13">
        <v>1</v>
      </c>
      <c r="F12" s="13">
        <v>3</v>
      </c>
      <c r="G12" s="152">
        <v>4000</v>
      </c>
      <c r="H12" s="151">
        <f>E12*F12*G12</f>
        <v>12000</v>
      </c>
    </row>
    <row r="13" spans="1:8" ht="18" customHeight="1" x14ac:dyDescent="0.15">
      <c r="A13" s="2"/>
      <c r="B13" s="10" t="s">
        <v>20</v>
      </c>
      <c r="C13" s="10" t="s">
        <v>79</v>
      </c>
      <c r="D13" s="11"/>
      <c r="E13" s="11"/>
      <c r="F13" s="11"/>
      <c r="G13" s="17"/>
      <c r="H13" s="17"/>
    </row>
    <row r="14" spans="1:8" ht="18" customHeight="1" x14ac:dyDescent="0.15">
      <c r="A14" s="2"/>
      <c r="B14" s="10">
        <v>1</v>
      </c>
      <c r="C14" s="15" t="s">
        <v>80</v>
      </c>
      <c r="D14" s="12" t="s">
        <v>63</v>
      </c>
      <c r="E14" s="13">
        <v>0.5</v>
      </c>
      <c r="F14" s="13">
        <v>1</v>
      </c>
      <c r="G14" s="16">
        <f>+G10*0.5</f>
        <v>4500</v>
      </c>
      <c r="H14" s="16">
        <f>G14*F14*E14:E14</f>
        <v>2250</v>
      </c>
    </row>
    <row r="15" spans="1:8" ht="18" customHeight="1" x14ac:dyDescent="0.15">
      <c r="A15" s="2"/>
      <c r="B15" s="10" t="s">
        <v>20</v>
      </c>
      <c r="C15" s="10" t="s">
        <v>84</v>
      </c>
      <c r="D15" s="11"/>
      <c r="E15" s="11"/>
      <c r="F15" s="11"/>
      <c r="G15" s="17"/>
      <c r="H15" s="17"/>
    </row>
    <row r="16" spans="1:8" ht="18" customHeight="1" x14ac:dyDescent="0.15">
      <c r="A16" s="2"/>
      <c r="B16" s="10">
        <v>1</v>
      </c>
      <c r="C16" s="15" t="s">
        <v>27</v>
      </c>
      <c r="D16" s="12" t="s">
        <v>5</v>
      </c>
      <c r="E16" s="13">
        <v>1</v>
      </c>
      <c r="F16" s="13">
        <f>+F11</f>
        <v>3</v>
      </c>
      <c r="G16" s="16">
        <v>250</v>
      </c>
      <c r="H16" s="16">
        <f>G16*F16*E16:E16</f>
        <v>750</v>
      </c>
    </row>
    <row r="17" spans="1:8" ht="18" customHeight="1" x14ac:dyDescent="0.15">
      <c r="A17" s="2"/>
      <c r="B17" s="10">
        <v>2</v>
      </c>
      <c r="C17" s="15" t="s">
        <v>85</v>
      </c>
      <c r="D17" s="12" t="s">
        <v>5</v>
      </c>
      <c r="E17" s="13">
        <v>1</v>
      </c>
      <c r="F17" s="13">
        <f>+F11</f>
        <v>3</v>
      </c>
      <c r="G17" s="16">
        <v>200</v>
      </c>
      <c r="H17" s="16">
        <f>G17*F17*E17:E17</f>
        <v>600</v>
      </c>
    </row>
    <row r="18" spans="1:8" ht="18" customHeight="1" x14ac:dyDescent="0.15">
      <c r="A18" s="2"/>
      <c r="B18" s="10" t="s">
        <v>21</v>
      </c>
      <c r="C18" s="10" t="s">
        <v>66</v>
      </c>
      <c r="D18" s="12"/>
      <c r="E18" s="13"/>
      <c r="F18" s="13"/>
      <c r="G18" s="152"/>
      <c r="H18" s="151"/>
    </row>
    <row r="19" spans="1:8" ht="18" customHeight="1" x14ac:dyDescent="0.15">
      <c r="A19" s="2"/>
      <c r="B19" s="10">
        <v>1</v>
      </c>
      <c r="C19" s="15" t="s">
        <v>55</v>
      </c>
      <c r="D19" s="12" t="s">
        <v>5</v>
      </c>
      <c r="E19" s="13">
        <v>1</v>
      </c>
      <c r="F19" s="13">
        <f>+F11</f>
        <v>3</v>
      </c>
      <c r="G19" s="152">
        <v>3500</v>
      </c>
      <c r="H19" s="16">
        <f>E19*F19*G19</f>
        <v>10500</v>
      </c>
    </row>
    <row r="20" spans="1:8" ht="18" customHeight="1" x14ac:dyDescent="0.15">
      <c r="A20" s="2"/>
      <c r="B20" s="10">
        <v>2</v>
      </c>
      <c r="C20" s="15" t="s">
        <v>107</v>
      </c>
      <c r="D20" s="12" t="s">
        <v>5</v>
      </c>
      <c r="E20" s="13">
        <v>1</v>
      </c>
      <c r="F20" s="13">
        <f>+F11</f>
        <v>3</v>
      </c>
      <c r="G20" s="152">
        <v>3000</v>
      </c>
      <c r="H20" s="16">
        <f>E20*F20*G20</f>
        <v>9000</v>
      </c>
    </row>
    <row r="21" spans="1:8" ht="18" customHeight="1" x14ac:dyDescent="0.15">
      <c r="A21" s="2"/>
      <c r="B21" s="10">
        <v>3</v>
      </c>
      <c r="C21" s="15" t="s">
        <v>39</v>
      </c>
      <c r="D21" s="12" t="s">
        <v>5</v>
      </c>
      <c r="E21" s="13">
        <v>1</v>
      </c>
      <c r="F21" s="13">
        <f>+F11</f>
        <v>3</v>
      </c>
      <c r="G21" s="152">
        <v>1800</v>
      </c>
      <c r="H21" s="151">
        <f>E21*F21*G21</f>
        <v>5400</v>
      </c>
    </row>
    <row r="22" spans="1:8" ht="18" customHeight="1" x14ac:dyDescent="0.15">
      <c r="A22" s="2"/>
      <c r="B22" s="10">
        <v>4</v>
      </c>
      <c r="C22" s="15" t="s">
        <v>67</v>
      </c>
      <c r="D22" s="12" t="s">
        <v>5</v>
      </c>
      <c r="E22" s="13">
        <v>1</v>
      </c>
      <c r="F22" s="13">
        <f>+F11</f>
        <v>3</v>
      </c>
      <c r="G22" s="152">
        <v>1800</v>
      </c>
      <c r="H22" s="151">
        <f t="shared" ref="H22" si="0">E22*F22*G22</f>
        <v>5400</v>
      </c>
    </row>
    <row r="23" spans="1:8" ht="18" hidden="1" customHeight="1" x14ac:dyDescent="0.15">
      <c r="A23" s="2"/>
      <c r="B23" s="10">
        <v>4</v>
      </c>
      <c r="C23" s="15" t="s">
        <v>68</v>
      </c>
      <c r="D23" s="12" t="s">
        <v>5</v>
      </c>
      <c r="E23" s="13">
        <v>1</v>
      </c>
      <c r="F23" s="13">
        <v>2</v>
      </c>
      <c r="G23" s="152">
        <v>900</v>
      </c>
      <c r="H23" s="151"/>
    </row>
    <row r="24" spans="1:8" ht="18" customHeight="1" x14ac:dyDescent="0.15">
      <c r="A24" s="2"/>
      <c r="B24" s="10" t="s">
        <v>21</v>
      </c>
      <c r="C24" s="10" t="s">
        <v>78</v>
      </c>
      <c r="D24" s="11"/>
      <c r="E24" s="11"/>
      <c r="F24" s="11"/>
      <c r="G24" s="153"/>
      <c r="H24" s="17"/>
    </row>
    <row r="25" spans="1:8" ht="18" customHeight="1" x14ac:dyDescent="0.15">
      <c r="A25" s="2"/>
      <c r="B25" s="10">
        <v>1</v>
      </c>
      <c r="C25" s="15" t="s">
        <v>111</v>
      </c>
      <c r="D25" s="12" t="s">
        <v>5</v>
      </c>
      <c r="E25" s="13">
        <v>1</v>
      </c>
      <c r="F25" s="13">
        <f>+F22</f>
        <v>3</v>
      </c>
      <c r="G25" s="152">
        <v>6500</v>
      </c>
      <c r="H25" s="151">
        <f>G25*F25*E25:E25</f>
        <v>19500</v>
      </c>
    </row>
    <row r="26" spans="1:8" ht="18" customHeight="1" x14ac:dyDescent="0.15">
      <c r="A26" s="2"/>
      <c r="B26" s="10">
        <v>2</v>
      </c>
      <c r="C26" s="15" t="s">
        <v>117</v>
      </c>
      <c r="D26" s="12" t="s">
        <v>5</v>
      </c>
      <c r="E26" s="13">
        <v>4</v>
      </c>
      <c r="F26" s="13">
        <f>+F25</f>
        <v>3</v>
      </c>
      <c r="G26" s="152">
        <v>500</v>
      </c>
      <c r="H26" s="151">
        <f>G26*F26*E26:E26</f>
        <v>6000</v>
      </c>
    </row>
    <row r="27" spans="1:8" ht="18" customHeight="1" x14ac:dyDescent="0.15">
      <c r="A27" s="2"/>
      <c r="B27" s="10">
        <v>3</v>
      </c>
      <c r="C27" s="15" t="s">
        <v>112</v>
      </c>
      <c r="D27" s="12" t="s">
        <v>5</v>
      </c>
      <c r="E27" s="190">
        <f>5%/12</f>
        <v>4.1666666666666666E-3</v>
      </c>
      <c r="F27" s="13">
        <f>+F25</f>
        <v>3</v>
      </c>
      <c r="G27" s="152">
        <f>+G29*0.1</f>
        <v>147439.90378000002</v>
      </c>
      <c r="H27" s="151">
        <f>G27*F27*E27:E27</f>
        <v>1842.9987972500001</v>
      </c>
    </row>
    <row r="28" spans="1:8" ht="18" customHeight="1" x14ac:dyDescent="0.15">
      <c r="A28" s="2"/>
      <c r="B28" s="10">
        <v>4</v>
      </c>
      <c r="C28" s="15" t="s">
        <v>113</v>
      </c>
      <c r="D28" s="12" t="s">
        <v>114</v>
      </c>
      <c r="E28" s="13">
        <v>1</v>
      </c>
      <c r="F28" s="13">
        <v>1</v>
      </c>
      <c r="G28" s="152">
        <v>1000</v>
      </c>
      <c r="H28" s="151">
        <f>G28*F28*E28:E28</f>
        <v>1000</v>
      </c>
    </row>
    <row r="29" spans="1:8" ht="18" customHeight="1" x14ac:dyDescent="0.15">
      <c r="A29" s="2"/>
      <c r="B29" s="10">
        <v>5</v>
      </c>
      <c r="C29" s="15" t="s">
        <v>115</v>
      </c>
      <c r="D29" s="12" t="s">
        <v>109</v>
      </c>
      <c r="E29" s="13">
        <v>1</v>
      </c>
      <c r="F29" s="201">
        <f>0.005/100</f>
        <v>5.0000000000000002E-5</v>
      </c>
      <c r="G29" s="152">
        <v>1474399.0378</v>
      </c>
      <c r="H29" s="151">
        <f>G29*F29*E29:E29</f>
        <v>73.719951890000004</v>
      </c>
    </row>
    <row r="30" spans="1:8" ht="18" hidden="1" customHeight="1" x14ac:dyDescent="0.15">
      <c r="A30" s="2"/>
      <c r="B30" s="10" t="s">
        <v>77</v>
      </c>
      <c r="C30" s="10" t="s">
        <v>69</v>
      </c>
      <c r="D30" s="11"/>
      <c r="E30" s="11"/>
      <c r="F30" s="11"/>
      <c r="G30" s="153"/>
      <c r="H30" s="17"/>
    </row>
    <row r="31" spans="1:8" ht="18" hidden="1" customHeight="1" x14ac:dyDescent="0.15">
      <c r="A31" s="2"/>
      <c r="B31" s="9">
        <v>1</v>
      </c>
      <c r="C31" s="15" t="s">
        <v>70</v>
      </c>
      <c r="D31" s="12" t="s">
        <v>63</v>
      </c>
      <c r="E31" s="13">
        <v>1</v>
      </c>
      <c r="F31" s="13">
        <v>5</v>
      </c>
      <c r="G31" s="152">
        <v>150</v>
      </c>
      <c r="H31" s="151"/>
    </row>
    <row r="32" spans="1:8" ht="18" hidden="1" customHeight="1" x14ac:dyDescent="0.15">
      <c r="A32" s="2"/>
      <c r="B32" s="9">
        <v>2</v>
      </c>
      <c r="C32" s="15" t="s">
        <v>71</v>
      </c>
      <c r="D32" s="12" t="s">
        <v>63</v>
      </c>
      <c r="E32" s="13">
        <v>1</v>
      </c>
      <c r="F32" s="13">
        <v>4</v>
      </c>
      <c r="G32" s="152">
        <v>40</v>
      </c>
      <c r="H32" s="151"/>
    </row>
    <row r="33" spans="1:8" ht="18" hidden="1" customHeight="1" x14ac:dyDescent="0.15">
      <c r="A33" s="2"/>
      <c r="B33" s="9">
        <v>3</v>
      </c>
      <c r="C33" s="18" t="s">
        <v>72</v>
      </c>
      <c r="D33" s="12" t="s">
        <v>63</v>
      </c>
      <c r="E33" s="13">
        <v>1</v>
      </c>
      <c r="F33" s="13">
        <v>4</v>
      </c>
      <c r="G33" s="152">
        <v>35</v>
      </c>
      <c r="H33" s="151"/>
    </row>
    <row r="34" spans="1:8" ht="18" hidden="1" customHeight="1" x14ac:dyDescent="0.15">
      <c r="A34" s="2"/>
      <c r="B34" s="9">
        <v>4</v>
      </c>
      <c r="C34" s="18" t="s">
        <v>73</v>
      </c>
      <c r="D34" s="12" t="s">
        <v>63</v>
      </c>
      <c r="E34" s="13">
        <v>1</v>
      </c>
      <c r="F34" s="13">
        <v>2</v>
      </c>
      <c r="G34" s="152">
        <v>70</v>
      </c>
      <c r="H34" s="151"/>
    </row>
    <row r="35" spans="1:8" ht="18" hidden="1" customHeight="1" x14ac:dyDescent="0.15">
      <c r="A35" s="2"/>
      <c r="B35" s="10" t="s">
        <v>77</v>
      </c>
      <c r="C35" s="10" t="s">
        <v>64</v>
      </c>
      <c r="D35" s="12" t="s">
        <v>1</v>
      </c>
      <c r="E35" s="13">
        <v>1</v>
      </c>
      <c r="F35" s="13">
        <v>1</v>
      </c>
      <c r="G35" s="151">
        <v>500</v>
      </c>
      <c r="H35" s="151"/>
    </row>
    <row r="36" spans="1:8" ht="18" customHeight="1" x14ac:dyDescent="0.15">
      <c r="A36" s="2"/>
      <c r="B36" s="235" t="s">
        <v>28</v>
      </c>
      <c r="C36" s="235"/>
      <c r="D36" s="235"/>
      <c r="E36" s="235"/>
      <c r="F36" s="235"/>
      <c r="G36" s="235"/>
      <c r="H36" s="155">
        <f>SUM(H10:H35)</f>
        <v>119316.71874914</v>
      </c>
    </row>
    <row r="37" spans="1:8" x14ac:dyDescent="0.15">
      <c r="A37" s="2"/>
      <c r="B37" s="2"/>
      <c r="C37" s="2"/>
      <c r="D37" s="2"/>
      <c r="E37" s="2"/>
      <c r="F37" s="2"/>
      <c r="G37" s="2"/>
      <c r="H37" s="2"/>
    </row>
    <row r="38" spans="1:8" ht="3.75" customHeight="1" x14ac:dyDescent="0.15">
      <c r="A38" s="2"/>
      <c r="B38" s="2"/>
      <c r="C38" s="2"/>
      <c r="D38" s="2"/>
      <c r="E38" s="2"/>
      <c r="F38" s="2"/>
      <c r="G38" s="2"/>
      <c r="H38" s="2"/>
    </row>
  </sheetData>
  <mergeCells count="4">
    <mergeCell ref="B5:H5"/>
    <mergeCell ref="B6:H6"/>
    <mergeCell ref="B1:H1"/>
    <mergeCell ref="B36:G36"/>
  </mergeCells>
  <phoneticPr fontId="0" type="noConversion"/>
  <printOptions horizontalCentered="1"/>
  <pageMargins left="0.39370078740157483" right="0.31496062992125984" top="0.78740157480314965" bottom="0.39370078740157483" header="0.31496062992125984" footer="0.51181102362204722"/>
  <pageSetup paperSize="9" fitToHeight="2" orientation="portrait" r:id="rId1"/>
  <headerFooter alignWithMargins="0"/>
  <cellWatches>
    <cellWatch r="F10"/>
  </cellWatche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J28"/>
  <sheetViews>
    <sheetView showGridLines="0" tabSelected="1" view="pageBreakPreview" topLeftCell="A4" zoomScaleNormal="100" zoomScaleSheetLayoutView="100" workbookViewId="0">
      <selection activeCell="L18" sqref="L18"/>
    </sheetView>
  </sheetViews>
  <sheetFormatPr defaultColWidth="11.4609375" defaultRowHeight="14.25" x14ac:dyDescent="0.15"/>
  <cols>
    <col min="1" max="1" width="2.55859375" style="8" customWidth="1"/>
    <col min="2" max="2" width="8.08984375" style="8" customWidth="1"/>
    <col min="3" max="3" width="53.1328125" style="8" customWidth="1"/>
    <col min="4" max="4" width="7.4140625" style="8" customWidth="1"/>
    <col min="5" max="5" width="15.640625" style="8" customWidth="1"/>
    <col min="6" max="6" width="11.59375" style="8" customWidth="1"/>
    <col min="7" max="7" width="15.5078125" style="8" bestFit="1" customWidth="1"/>
    <col min="8" max="8" width="16.046875" style="8" customWidth="1"/>
    <col min="9" max="9" width="2.96484375" style="8" customWidth="1"/>
    <col min="10" max="10" width="2.42578125" style="8" customWidth="1"/>
    <col min="11" max="16384" width="11.4609375" style="8"/>
  </cols>
  <sheetData>
    <row r="1" spans="1:10" s="1" customFormat="1" ht="32.25" customHeight="1" x14ac:dyDescent="0.15">
      <c r="A1" s="2"/>
      <c r="B1" s="234"/>
      <c r="C1" s="234"/>
      <c r="D1" s="234"/>
      <c r="E1" s="234"/>
      <c r="F1" s="234"/>
      <c r="G1" s="234"/>
      <c r="H1" s="234"/>
      <c r="I1" s="4"/>
      <c r="J1" s="5"/>
    </row>
    <row r="2" spans="1:10" s="1" customFormat="1" ht="35.25" customHeight="1" x14ac:dyDescent="0.15">
      <c r="A2" s="2"/>
      <c r="B2" s="6"/>
      <c r="C2" s="6"/>
      <c r="D2" s="7"/>
      <c r="E2" s="7"/>
      <c r="F2" s="7"/>
      <c r="G2" s="7"/>
      <c r="H2" s="7"/>
      <c r="I2" s="4"/>
      <c r="J2" s="3"/>
    </row>
    <row r="3" spans="1:10" s="1" customFormat="1" ht="21.75" customHeight="1" x14ac:dyDescent="0.15">
      <c r="A3" s="2"/>
      <c r="B3" s="6"/>
      <c r="C3" s="6"/>
      <c r="D3" s="7"/>
      <c r="E3" s="7"/>
      <c r="F3" s="7"/>
      <c r="G3" s="7"/>
      <c r="H3" s="7"/>
      <c r="I3" s="4"/>
      <c r="J3" s="3"/>
    </row>
    <row r="4" spans="1:10" s="1" customFormat="1" ht="21.75" customHeight="1" x14ac:dyDescent="0.15">
      <c r="A4" s="2"/>
      <c r="B4" s="6"/>
      <c r="C4" s="6"/>
      <c r="D4" s="7"/>
      <c r="E4" s="7"/>
      <c r="F4" s="7"/>
      <c r="G4" s="7"/>
      <c r="H4" s="7"/>
      <c r="I4" s="4"/>
      <c r="J4" s="3"/>
    </row>
    <row r="5" spans="1:10" ht="15" customHeight="1" x14ac:dyDescent="0.15">
      <c r="A5" s="2"/>
      <c r="B5" s="236" t="s">
        <v>47</v>
      </c>
      <c r="C5" s="236"/>
      <c r="D5" s="236"/>
      <c r="E5" s="236"/>
      <c r="F5" s="236"/>
      <c r="G5" s="236"/>
      <c r="H5" s="236"/>
      <c r="I5" s="4"/>
    </row>
    <row r="6" spans="1:10" ht="15" customHeight="1" x14ac:dyDescent="0.15">
      <c r="A6" s="2"/>
      <c r="B6" s="21"/>
      <c r="C6" s="21"/>
      <c r="D6" s="21"/>
      <c r="E6" s="21"/>
      <c r="F6" s="21"/>
      <c r="G6" s="21"/>
      <c r="H6" s="21"/>
      <c r="I6" s="4"/>
    </row>
    <row r="7" spans="1:10" ht="15" customHeight="1" x14ac:dyDescent="0.15">
      <c r="A7" s="2"/>
      <c r="B7" s="237" t="s">
        <v>48</v>
      </c>
      <c r="C7" s="238"/>
      <c r="D7" s="22"/>
      <c r="E7" s="22"/>
      <c r="F7" s="22"/>
      <c r="G7" s="22"/>
      <c r="H7" s="23">
        <f>RESÚMEN!H40</f>
        <v>1474399.0378</v>
      </c>
      <c r="I7" s="4"/>
    </row>
    <row r="8" spans="1:10" ht="15" customHeight="1" x14ac:dyDescent="0.15">
      <c r="A8" s="2"/>
      <c r="B8" s="21"/>
      <c r="C8" s="21"/>
      <c r="D8" s="21"/>
      <c r="E8" s="21"/>
      <c r="F8" s="21"/>
      <c r="G8" s="21"/>
      <c r="H8" s="21"/>
      <c r="I8" s="4"/>
    </row>
    <row r="9" spans="1:10" ht="15" customHeight="1" x14ac:dyDescent="0.15">
      <c r="A9" s="2"/>
      <c r="B9" s="237" t="s">
        <v>83</v>
      </c>
      <c r="C9" s="238"/>
      <c r="D9" s="22"/>
      <c r="E9" s="70">
        <f>H9/H7</f>
        <v>4.7595663182682525E-2</v>
      </c>
      <c r="F9" s="22" t="s">
        <v>52</v>
      </c>
      <c r="G9" s="22"/>
      <c r="H9" s="23">
        <f>H21</f>
        <v>70175</v>
      </c>
      <c r="I9" s="4"/>
    </row>
    <row r="10" spans="1:10" ht="15" customHeight="1" x14ac:dyDescent="0.15">
      <c r="A10" s="2"/>
      <c r="B10" s="163"/>
      <c r="C10" s="164"/>
      <c r="D10" s="22"/>
      <c r="E10" s="22"/>
      <c r="F10" s="22"/>
      <c r="G10" s="22"/>
      <c r="H10" s="23"/>
      <c r="I10" s="4"/>
    </row>
    <row r="11" spans="1:10" ht="32.25" customHeight="1" x14ac:dyDescent="0.15">
      <c r="A11" s="24"/>
      <c r="B11" s="25" t="s">
        <v>2</v>
      </c>
      <c r="C11" s="25" t="s">
        <v>3</v>
      </c>
      <c r="D11" s="25" t="s">
        <v>14</v>
      </c>
      <c r="E11" s="26" t="s">
        <v>15</v>
      </c>
      <c r="F11" s="26" t="s">
        <v>16</v>
      </c>
      <c r="G11" s="26" t="s">
        <v>17</v>
      </c>
      <c r="H11" s="26" t="s">
        <v>18</v>
      </c>
      <c r="I11" s="2"/>
    </row>
    <row r="12" spans="1:10" ht="18" customHeight="1" x14ac:dyDescent="0.15">
      <c r="A12" s="2"/>
      <c r="B12" s="10" t="s">
        <v>19</v>
      </c>
      <c r="C12" s="10" t="s">
        <v>25</v>
      </c>
      <c r="D12" s="11"/>
      <c r="E12" s="11"/>
      <c r="F12" s="11"/>
      <c r="G12" s="11"/>
      <c r="H12" s="11"/>
      <c r="I12" s="2"/>
    </row>
    <row r="13" spans="1:10" ht="18" customHeight="1" x14ac:dyDescent="0.15">
      <c r="A13" s="2"/>
      <c r="B13" s="9" t="s">
        <v>50</v>
      </c>
      <c r="C13" s="10" t="s">
        <v>75</v>
      </c>
      <c r="D13" s="12"/>
      <c r="E13" s="13"/>
      <c r="F13" s="13"/>
      <c r="G13" s="13"/>
      <c r="H13" s="14"/>
      <c r="I13" s="2"/>
    </row>
    <row r="14" spans="1:10" ht="18" customHeight="1" x14ac:dyDescent="0.15">
      <c r="A14" s="2"/>
      <c r="B14" s="9">
        <v>1</v>
      </c>
      <c r="C14" s="15" t="s">
        <v>49</v>
      </c>
      <c r="D14" s="12" t="s">
        <v>5</v>
      </c>
      <c r="E14" s="13">
        <v>1</v>
      </c>
      <c r="F14" s="13">
        <v>3</v>
      </c>
      <c r="G14" s="16">
        <v>9000</v>
      </c>
      <c r="H14" s="16">
        <f>E14*F14*G14</f>
        <v>27000</v>
      </c>
      <c r="I14" s="2"/>
    </row>
    <row r="15" spans="1:10" ht="18" customHeight="1" x14ac:dyDescent="0.15">
      <c r="A15" s="2"/>
      <c r="B15" s="9">
        <v>1</v>
      </c>
      <c r="C15" s="15" t="s">
        <v>105</v>
      </c>
      <c r="D15" s="12" t="s">
        <v>5</v>
      </c>
      <c r="E15" s="13">
        <v>1</v>
      </c>
      <c r="F15" s="13">
        <f>+F14</f>
        <v>3</v>
      </c>
      <c r="G15" s="16">
        <v>6000</v>
      </c>
      <c r="H15" s="16">
        <f>E15*F15*G15</f>
        <v>18000</v>
      </c>
      <c r="I15" s="2"/>
    </row>
    <row r="16" spans="1:10" ht="18" customHeight="1" x14ac:dyDescent="0.15">
      <c r="A16" s="2"/>
      <c r="B16" s="9">
        <v>3</v>
      </c>
      <c r="C16" s="15" t="s">
        <v>81</v>
      </c>
      <c r="D16" s="12" t="s">
        <v>5</v>
      </c>
      <c r="E16" s="13">
        <v>1</v>
      </c>
      <c r="F16" s="13">
        <v>0.5</v>
      </c>
      <c r="G16" s="16">
        <f>+G14/2</f>
        <v>4500</v>
      </c>
      <c r="H16" s="16">
        <f>E16*F16*G16</f>
        <v>2250</v>
      </c>
      <c r="I16" s="2"/>
    </row>
    <row r="17" spans="1:9" ht="18" customHeight="1" x14ac:dyDescent="0.15">
      <c r="A17" s="2"/>
      <c r="B17" s="9">
        <v>4</v>
      </c>
      <c r="C17" s="15" t="s">
        <v>117</v>
      </c>
      <c r="D17" s="12" t="s">
        <v>5</v>
      </c>
      <c r="E17" s="13">
        <v>2</v>
      </c>
      <c r="F17" s="13">
        <v>3</v>
      </c>
      <c r="G17" s="16">
        <v>500</v>
      </c>
      <c r="H17" s="16">
        <f>E17*F17*G17</f>
        <v>3000</v>
      </c>
      <c r="I17" s="2"/>
    </row>
    <row r="18" spans="1:9" ht="18" customHeight="1" x14ac:dyDescent="0.15">
      <c r="A18" s="2"/>
      <c r="B18" s="9" t="s">
        <v>51</v>
      </c>
      <c r="C18" s="10" t="s">
        <v>26</v>
      </c>
      <c r="D18" s="11"/>
      <c r="E18" s="11"/>
      <c r="F18" s="11"/>
      <c r="G18" s="17"/>
      <c r="H18" s="17"/>
      <c r="I18" s="2"/>
    </row>
    <row r="19" spans="1:9" ht="18" customHeight="1" x14ac:dyDescent="0.15">
      <c r="A19" s="2"/>
      <c r="B19" s="9">
        <v>1</v>
      </c>
      <c r="C19" s="15" t="s">
        <v>108</v>
      </c>
      <c r="D19" s="12" t="s">
        <v>5</v>
      </c>
      <c r="E19" s="13">
        <v>1</v>
      </c>
      <c r="F19" s="13">
        <f>+F14</f>
        <v>3</v>
      </c>
      <c r="G19" s="16">
        <v>6500</v>
      </c>
      <c r="H19" s="16">
        <f>G19*F19*E19:E19</f>
        <v>19500</v>
      </c>
      <c r="I19" s="2"/>
    </row>
    <row r="20" spans="1:9" ht="18" customHeight="1" x14ac:dyDescent="0.15">
      <c r="A20" s="2"/>
      <c r="B20" s="9">
        <v>2</v>
      </c>
      <c r="C20" s="15" t="s">
        <v>27</v>
      </c>
      <c r="D20" s="12" t="s">
        <v>109</v>
      </c>
      <c r="E20" s="13">
        <v>1</v>
      </c>
      <c r="F20" s="13">
        <v>1</v>
      </c>
      <c r="G20" s="16">
        <v>425</v>
      </c>
      <c r="H20" s="16">
        <f>G20*F20*E20:E20</f>
        <v>425</v>
      </c>
      <c r="I20" s="2"/>
    </row>
    <row r="21" spans="1:9" ht="18" customHeight="1" x14ac:dyDescent="0.15">
      <c r="A21" s="2"/>
      <c r="B21" s="235" t="s">
        <v>74</v>
      </c>
      <c r="C21" s="235"/>
      <c r="D21" s="235"/>
      <c r="E21" s="235"/>
      <c r="F21" s="235"/>
      <c r="G21" s="235"/>
      <c r="H21" s="19">
        <f>SUM(H14:H20)</f>
        <v>70175</v>
      </c>
      <c r="I21" s="2"/>
    </row>
    <row r="22" spans="1:9" x14ac:dyDescent="0.15">
      <c r="A22" s="2"/>
      <c r="B22" s="2"/>
      <c r="C22" s="2"/>
      <c r="D22" s="2"/>
      <c r="E22" s="2"/>
      <c r="F22" s="2"/>
      <c r="G22" s="2"/>
      <c r="H22" s="2"/>
      <c r="I22" s="2"/>
    </row>
    <row r="23" spans="1:9" ht="3.75" customHeight="1" x14ac:dyDescent="0.15">
      <c r="A23" s="2"/>
      <c r="B23" s="2"/>
      <c r="C23" s="2"/>
      <c r="D23" s="2"/>
      <c r="E23" s="2"/>
      <c r="F23" s="2"/>
      <c r="G23" s="2"/>
      <c r="H23" s="2"/>
      <c r="I23" s="2"/>
    </row>
    <row r="28" spans="1:9" x14ac:dyDescent="0.15">
      <c r="E28" s="172"/>
    </row>
  </sheetData>
  <mergeCells count="5">
    <mergeCell ref="B1:H1"/>
    <mergeCell ref="B5:H5"/>
    <mergeCell ref="B21:G21"/>
    <mergeCell ref="B7:C7"/>
    <mergeCell ref="B9:C9"/>
  </mergeCells>
  <printOptions horizontalCentered="1"/>
  <pageMargins left="0.39370078740157483" right="0.31496062992125984" top="0.78740157480314965" bottom="0.39370078740157483" header="0.31496062992125984" footer="0.51181102362204722"/>
  <pageSetup paperSize="9" scale="90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10</vt:i4>
      </vt:variant>
    </vt:vector>
  </HeadingPairs>
  <TitlesOfParts>
    <vt:vector size="15" baseType="lpstr">
      <vt:lpstr>RESÚMEN</vt:lpstr>
      <vt:lpstr>CONSOLIDADO</vt:lpstr>
      <vt:lpstr>FIJOS</vt:lpstr>
      <vt:lpstr>VARIABLES</vt:lpstr>
      <vt:lpstr>SUPERVISION</vt:lpstr>
      <vt:lpstr>CONSOLIDADO!Área_de_impresión</vt:lpstr>
      <vt:lpstr>FIJOS!Área_de_impresión</vt:lpstr>
      <vt:lpstr>RESÚMEN!Área_de_impresión</vt:lpstr>
      <vt:lpstr>SUPERVISION!Área_de_impresión</vt:lpstr>
      <vt:lpstr>SUPERVISION!CABEZA</vt:lpstr>
      <vt:lpstr>CABEZA</vt:lpstr>
      <vt:lpstr>SUPERVISION!SUSTENTO</vt:lpstr>
      <vt:lpstr>SUSTENTO</vt:lpstr>
      <vt:lpstr>SUPERVISION!Títulos_a_imprimir</vt:lpstr>
      <vt:lpstr>VARIABLES!Títulos_a_imprimir</vt:lpstr>
    </vt:vector>
  </TitlesOfParts>
  <Company>G Y P REINGENIERIA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GUERRERO</dc:creator>
  <cp:lastModifiedBy>Usuario de Windows</cp:lastModifiedBy>
  <cp:lastPrinted>2021-05-12T04:54:52Z</cp:lastPrinted>
  <dcterms:created xsi:type="dcterms:W3CDTF">1999-12-08T18:03:03Z</dcterms:created>
  <dcterms:modified xsi:type="dcterms:W3CDTF">2021-09-21T20:19:50Z</dcterms:modified>
</cp:coreProperties>
</file>